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firstSheet="3" activeTab="5"/>
  </bookViews>
  <sheets>
    <sheet name="FORMULARIO 1 - INGRESOS" sheetId="1" r:id="rId1"/>
    <sheet name="FORMU.2 GASTOS" sheetId="2" r:id="rId2"/>
    <sheet name="FORMULARIO 3 - CLAS. ECONÓMICA" sheetId="3" r:id="rId3"/>
    <sheet name="FORMULARIO 1A - CAL. INGRES " sheetId="4" r:id="rId4"/>
    <sheet name="FORMULARIO 4 - PLANTA" sheetId="5" r:id="rId5"/>
    <sheet name="FORMULARIO 4A - NOMINA" sheetId="6" r:id="rId6"/>
    <sheet name="FORMULARIO 5 - DEUDA PUBLICA" sheetId="7" r:id="rId7"/>
  </sheets>
  <definedNames>
    <definedName name="_xlnm.Print_Area" localSheetId="1">'FORMU.2 GASTOS'!$A$15:$K$125</definedName>
    <definedName name="_xlnm.Print_Area" localSheetId="4">'FORMULARIO 4 - PLANTA'!$A$1:$AI$73</definedName>
    <definedName name="_xlnm.Print_Titles" localSheetId="1">'FORMU.2 GASTOS'!$1:$14</definedName>
    <definedName name="_xlnm.Print_Titles" localSheetId="4">'FORMULARIO 4 - PLANTA'!$A:$C,'FORMULARIO 4 - PLANTA'!$1:$10</definedName>
  </definedNames>
  <calcPr fullCalcOnLoad="1"/>
</workbook>
</file>

<file path=xl/sharedStrings.xml><?xml version="1.0" encoding="utf-8"?>
<sst xmlns="http://schemas.openxmlformats.org/spreadsheetml/2006/main" count="545" uniqueCount="392">
  <si>
    <t>UNIDAD EJECUTORA:</t>
  </si>
  <si>
    <t>(Millones de pesos)</t>
  </si>
  <si>
    <t>Niv</t>
  </si>
  <si>
    <t>Concepto</t>
  </si>
  <si>
    <t>Ingresos</t>
  </si>
  <si>
    <t>Estimados</t>
  </si>
  <si>
    <t>Programados</t>
  </si>
  <si>
    <t>INGRESOS PROPIOS</t>
  </si>
  <si>
    <t>INGRESOS CORRIENTES</t>
  </si>
  <si>
    <t>Tributarios</t>
  </si>
  <si>
    <t>Contribuciones</t>
  </si>
  <si>
    <t>No Tributarios</t>
  </si>
  <si>
    <t>Venta de Bienes y Servicios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</si>
  <si>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</si>
  <si>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</si>
  <si>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</si>
  <si>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</si>
  <si>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</si>
  <si>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</si>
  <si>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</si>
  <si>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</si>
  <si>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</si>
  <si>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</si>
  <si>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</si>
  <si>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</si>
  <si>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</si>
  <si>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</si>
  <si>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Cancelación de Reservas</t>
  </si>
  <si>
    <t>Recuperación de Cartera</t>
  </si>
  <si>
    <t>Donaciones</t>
  </si>
  <si>
    <t>Funcionamiento</t>
  </si>
  <si>
    <t>Servicio de la Deuda</t>
  </si>
  <si>
    <t>Inversión</t>
  </si>
  <si>
    <t>TOTAL INGRESOS VIGENCIA</t>
  </si>
  <si>
    <t>RESUMEN PRESUPUESTO DE INGRESOS</t>
  </si>
  <si>
    <t>Ingresos Propios</t>
  </si>
  <si>
    <t>Ingresos Corrientes</t>
  </si>
  <si>
    <t>Recursos de Capital</t>
  </si>
  <si>
    <t>Rentas Parafiscales</t>
  </si>
  <si>
    <t>Aportes de la Nación</t>
  </si>
  <si>
    <t>Total Ingresos Vigencia</t>
  </si>
  <si>
    <t>Producto</t>
  </si>
  <si>
    <t>Unidad de</t>
  </si>
  <si>
    <t>Precio</t>
  </si>
  <si>
    <t>Ingreso Año</t>
  </si>
  <si>
    <t>Precio Promedio Unidad</t>
  </si>
  <si>
    <t>Ingreso</t>
  </si>
  <si>
    <t>Año</t>
  </si>
  <si>
    <t>Promedio</t>
  </si>
  <si>
    <t>Factor de</t>
  </si>
  <si>
    <t>Cantidad</t>
  </si>
  <si>
    <t>Unidad</t>
  </si>
  <si>
    <t>(Millones de $)</t>
  </si>
  <si>
    <t>Incremento</t>
  </si>
  <si>
    <t>Base Cero</t>
  </si>
  <si>
    <t>(Miles de $)</t>
  </si>
  <si>
    <t>1. INGRESOS TRIBUTARIOS</t>
  </si>
  <si>
    <t>1.1. CONTRIBUCIONES</t>
  </si>
  <si>
    <t>Total Contribuciones</t>
  </si>
  <si>
    <t>2. INGRESOS NO TRIBUTARIOS</t>
  </si>
  <si>
    <t>2.1. VENTA DE BIENES Y SERVICIOS</t>
  </si>
  <si>
    <t>Subtotal producto 1</t>
  </si>
  <si>
    <t>Subtotal producto 2</t>
  </si>
  <si>
    <t>Subtotal producto 3</t>
  </si>
  <si>
    <t>Total Venta de Bienes y Servicios</t>
  </si>
  <si>
    <t>Total Operación Comercial</t>
  </si>
  <si>
    <t>2.3. OTROS INGRESOS</t>
  </si>
  <si>
    <t>Total Otros Ingresos</t>
  </si>
  <si>
    <t xml:space="preserve"> </t>
  </si>
  <si>
    <t>Clasif.</t>
  </si>
  <si>
    <t>Aportes</t>
  </si>
  <si>
    <t>Recursos</t>
  </si>
  <si>
    <t>Total</t>
  </si>
  <si>
    <t>de la</t>
  </si>
  <si>
    <t>Propios</t>
  </si>
  <si>
    <t>Nación</t>
  </si>
  <si>
    <t>A</t>
  </si>
  <si>
    <t>GASTOS DE FUNCIONAMIENTO</t>
  </si>
  <si>
    <t>Gastos de Personal</t>
  </si>
  <si>
    <t>Servicios Personales Asociados a la nómina</t>
  </si>
  <si>
    <t>Sueldos personal de nómina</t>
  </si>
  <si>
    <t xml:space="preserve">Prima técnica </t>
  </si>
  <si>
    <t xml:space="preserve">Otros </t>
  </si>
  <si>
    <t>Servicios Personales indirectos</t>
  </si>
  <si>
    <t>Gastos Generales</t>
  </si>
  <si>
    <t>Impuestos y multas</t>
  </si>
  <si>
    <t>Transferencias Corrientes</t>
  </si>
  <si>
    <t>Transferencias por convenios al sector privado</t>
  </si>
  <si>
    <t>Programas nacionales que se desarrollan con el sector privado</t>
  </si>
  <si>
    <t>Transferencias al sector público</t>
  </si>
  <si>
    <t>Cuota de auditaje Contranal</t>
  </si>
  <si>
    <t>Empresas Públicas Nacionales no financieras</t>
  </si>
  <si>
    <t>Empresas Públicas Nacionales financieras</t>
  </si>
  <si>
    <t>Departamentos</t>
  </si>
  <si>
    <t>Empresas Públicas Departamentales no financieras</t>
  </si>
  <si>
    <t>Empresas Públicas Departamentales financieras</t>
  </si>
  <si>
    <t>Municipios</t>
  </si>
  <si>
    <t>Empresas Públicas Municipales no financieras</t>
  </si>
  <si>
    <t>Empresas Públicas Municipales financieras</t>
  </si>
  <si>
    <t>Otras entidades públicas del orden territorial</t>
  </si>
  <si>
    <t>Transferencias al exterior</t>
  </si>
  <si>
    <t>Organismos Internacionales</t>
  </si>
  <si>
    <t>Transferencias Previsión y Seguridad Social</t>
  </si>
  <si>
    <t>Pensiones y Jubilaciones</t>
  </si>
  <si>
    <t>Mesadas Pensionales</t>
  </si>
  <si>
    <t>Cesantías</t>
  </si>
  <si>
    <t>Cesantías definitivas</t>
  </si>
  <si>
    <t>Cesantías parciales</t>
  </si>
  <si>
    <t>Otras Transferencias de Previsión Social</t>
  </si>
  <si>
    <t xml:space="preserve">Otras Transferencias </t>
  </si>
  <si>
    <t>Sentencias y Conciliaciones</t>
  </si>
  <si>
    <t>Fondo de Compensación interministerial</t>
  </si>
  <si>
    <t>Destinatarios de otras transferencias</t>
  </si>
  <si>
    <t>Indemnizaciones</t>
  </si>
  <si>
    <t>Otras transferencias</t>
  </si>
  <si>
    <t>TRANSFERENCIAS DE CAPITAL</t>
  </si>
  <si>
    <t>Otras transferencias de capital</t>
  </si>
  <si>
    <t>Destinatarios de las otras transferencias de capital</t>
  </si>
  <si>
    <t>Gastos de Comercialización y Producción</t>
  </si>
  <si>
    <t>Comercial</t>
  </si>
  <si>
    <t>Industrial</t>
  </si>
  <si>
    <t>Materias primas</t>
  </si>
  <si>
    <t>Agrícola</t>
  </si>
  <si>
    <t>B</t>
  </si>
  <si>
    <t>SERVICIO DE LA DEUDA EXTERNA</t>
  </si>
  <si>
    <t>Amortizaciones</t>
  </si>
  <si>
    <t>Banca Comecial</t>
  </si>
  <si>
    <t>Banca de Fomento</t>
  </si>
  <si>
    <t>Gobiernos</t>
  </si>
  <si>
    <t>Organismos Multilaterales</t>
  </si>
  <si>
    <t>Proveedores</t>
  </si>
  <si>
    <t>Titulos valores</t>
  </si>
  <si>
    <t>Cuenta especial de deuda externa</t>
  </si>
  <si>
    <t>Intereses, Comisiones y Gastos</t>
  </si>
  <si>
    <t>Cuenta especial</t>
  </si>
  <si>
    <t>SERVICIO DE LA DEUDA INTERNA</t>
  </si>
  <si>
    <t>Entidades financieras</t>
  </si>
  <si>
    <t>Títulos valores</t>
  </si>
  <si>
    <t>TOTAL PRESUPUESTO DE GASTOS</t>
  </si>
  <si>
    <t>RESUMEN PRESUPUESTO DE GASTOS</t>
  </si>
  <si>
    <t>Gastos de Funcionamiento</t>
  </si>
  <si>
    <t>Disponible para Inversión</t>
  </si>
  <si>
    <t>Total Gastos</t>
  </si>
  <si>
    <t>(Pesos)</t>
  </si>
  <si>
    <t>Grado</t>
  </si>
  <si>
    <t>Auxilios</t>
  </si>
  <si>
    <t>Otras Primas No Factor Salarial</t>
  </si>
  <si>
    <t>ICBF</t>
  </si>
  <si>
    <t>Cargos</t>
  </si>
  <si>
    <t>Mes</t>
  </si>
  <si>
    <t>Anual</t>
  </si>
  <si>
    <t>NIVEL DIRECTIVO</t>
  </si>
  <si>
    <t>NIVEL ASESOR</t>
  </si>
  <si>
    <t>NIVEL PROFESIONAL</t>
  </si>
  <si>
    <t>NIVEL ASISTENCIAL</t>
  </si>
  <si>
    <t>TOTAL PLANTA DE PERSONAL</t>
  </si>
  <si>
    <t>Total cargos</t>
  </si>
  <si>
    <t>Asignación</t>
  </si>
  <si>
    <t>Provistos</t>
  </si>
  <si>
    <t>Vacantes</t>
  </si>
  <si>
    <t>de planta</t>
  </si>
  <si>
    <t>Básica</t>
  </si>
  <si>
    <t>Mensual</t>
  </si>
  <si>
    <t>Empleados Públicos</t>
  </si>
  <si>
    <t>Total Empleados Públicos</t>
  </si>
  <si>
    <t>Trabajadores Oficiales</t>
  </si>
  <si>
    <t>Total  Trabajadores Oficiales</t>
  </si>
  <si>
    <t>Total Personal</t>
  </si>
  <si>
    <t>Ciudad y fecha _______________________</t>
  </si>
  <si>
    <t>Jefe de Personal</t>
  </si>
  <si>
    <t>Clase de</t>
  </si>
  <si>
    <t>Identificación</t>
  </si>
  <si>
    <t>Saldo Emprestito</t>
  </si>
  <si>
    <t>Tipo de</t>
  </si>
  <si>
    <t>Prestamista</t>
  </si>
  <si>
    <t>Código del</t>
  </si>
  <si>
    <t>Moneda Original</t>
  </si>
  <si>
    <t>Intereses</t>
  </si>
  <si>
    <t>Comisiones</t>
  </si>
  <si>
    <t>Total Pagos</t>
  </si>
  <si>
    <t>Cambio</t>
  </si>
  <si>
    <t>Empréstito</t>
  </si>
  <si>
    <t>Moneda</t>
  </si>
  <si>
    <t>Valor</t>
  </si>
  <si>
    <t>12= 7*11</t>
  </si>
  <si>
    <t>13= 10*12</t>
  </si>
  <si>
    <t>14= 7*10</t>
  </si>
  <si>
    <t>10= 6*9</t>
  </si>
  <si>
    <t>8= 6*7</t>
  </si>
  <si>
    <t>5= 3*4</t>
  </si>
  <si>
    <t>medida</t>
  </si>
  <si>
    <t>Vigencias Futuras aprobadas</t>
  </si>
  <si>
    <t>3= 1+2</t>
  </si>
  <si>
    <t>6= 4+5</t>
  </si>
  <si>
    <t>9= 7+8</t>
  </si>
  <si>
    <t>Otros gastos personales (Distribución previo concepto DGPPN)</t>
  </si>
  <si>
    <t>Horas extras, días festivos e idemnización por vacaciones</t>
  </si>
  <si>
    <t>Contribuciones inherentes a la nómina sector privado y público</t>
  </si>
  <si>
    <t>Adquisición de bienes y servicios</t>
  </si>
  <si>
    <t>Orden nacional</t>
  </si>
  <si>
    <t>Deuda cesantias fuerzas militares afiliados caja promotora de vivienda militar y de policia -CPVMP</t>
  </si>
  <si>
    <t>Deuda cesantias policia nacional afiliados caja promotora de vivienda militar y de policia -CPVMP</t>
  </si>
  <si>
    <t>Deuda cesantias soldados profesionales afiliados caja promotora de vivienda militar y de policia -CPVMP</t>
  </si>
  <si>
    <t>Aporte patronal cotización a pensión pensionados por Prosocial</t>
  </si>
  <si>
    <t>Aporte patronal FAVI (Decreto 294/81)</t>
  </si>
  <si>
    <t>Sistema General de Participaciones</t>
  </si>
  <si>
    <t>Participación para educación</t>
  </si>
  <si>
    <t>Participación para salud</t>
  </si>
  <si>
    <t>Participación para propósito general</t>
  </si>
  <si>
    <t>Asignaciones especiales</t>
  </si>
  <si>
    <t>Participación resguardos indígenas parágrafo 2  artículo  2  Ley 715 de 2001</t>
  </si>
  <si>
    <t>Participación municipios de la ribera del río Magdalena . Parágrafo 2, articulo 2 Ley 715 de 2001</t>
  </si>
  <si>
    <t>Programas de alimentación escolar distritos y municipios . Parágrafo 2, art. 2, Ley 715 de 2001</t>
  </si>
  <si>
    <t>Fondo  Nacional de Pensiones de las Entidades Territoriales, ley 549 de 1999, parágrafo 2, art. 2, Ley 715 de 2001</t>
  </si>
  <si>
    <t>Compra de bienes y servicios</t>
  </si>
  <si>
    <t xml:space="preserve">Otros gastos  </t>
  </si>
  <si>
    <t>Dirección General del Presupuesto Público Nacional</t>
  </si>
  <si>
    <t>Formulario 1</t>
  </si>
  <si>
    <t>Formulario 2</t>
  </si>
  <si>
    <t>Formulario  1A</t>
  </si>
  <si>
    <t>Formulario 4A</t>
  </si>
  <si>
    <t>Formulario 5</t>
  </si>
  <si>
    <t>CLASIFICADOR ACTUAL</t>
  </si>
  <si>
    <t>C</t>
  </si>
  <si>
    <t>D</t>
  </si>
  <si>
    <t>E</t>
  </si>
  <si>
    <t>F</t>
  </si>
  <si>
    <t>G</t>
  </si>
  <si>
    <t>H</t>
  </si>
  <si>
    <t>I</t>
  </si>
  <si>
    <t>J</t>
  </si>
  <si>
    <t>Código Clasif Actual</t>
  </si>
  <si>
    <t>CONCEPTO ACTUAL</t>
  </si>
  <si>
    <r>
      <t xml:space="preserve">VALOR CLASIFICADOR ACTUAL </t>
    </r>
    <r>
      <rPr>
        <b/>
        <sz val="8"/>
        <color indexed="8"/>
        <rFont val="Arial"/>
        <family val="2"/>
      </rPr>
      <t>RECURSOS PROPIOS</t>
    </r>
  </si>
  <si>
    <r>
      <t xml:space="preserve">VALOR CLASIFICADOR ACTUAL                           </t>
    </r>
    <r>
      <rPr>
        <b/>
        <sz val="8"/>
        <color indexed="8"/>
        <rFont val="Arial"/>
        <family val="2"/>
      </rPr>
      <t>TOTAL</t>
    </r>
  </si>
  <si>
    <t>Código Clasif Econó-mico</t>
  </si>
  <si>
    <t>GASTOS E INVERSIONES DE CAPITAL</t>
  </si>
  <si>
    <t>GASTOS GENERALES</t>
  </si>
  <si>
    <t>Varios</t>
  </si>
  <si>
    <t>Gastos Corrientes, de Propiedad y Adquisición de Activos Reales</t>
  </si>
  <si>
    <t>GASTOS CORRIENTES</t>
  </si>
  <si>
    <t>Bienes de Consumo</t>
  </si>
  <si>
    <t>Propiedades Planta y Equipo</t>
  </si>
  <si>
    <t>Servicios No Personales</t>
  </si>
  <si>
    <t>GASTOS DE LA PROPIEDAD</t>
  </si>
  <si>
    <t>Derechos sobre Bienes Intangibles</t>
  </si>
  <si>
    <t>Arrendamientos y Alquileres</t>
  </si>
  <si>
    <t>TRANSFERENCIAS</t>
  </si>
  <si>
    <t>OTRAS TRANSFERENCIAS</t>
  </si>
  <si>
    <t>DESTINARIOS DE LAS OTRAS TRANSFERENCIAS DE CAPITAL</t>
  </si>
  <si>
    <t>Transferencias al Sector Privado</t>
  </si>
  <si>
    <t>Transferencias al Sector Publico</t>
  </si>
  <si>
    <t>Transferencias al Exterior</t>
  </si>
  <si>
    <t>INSTRUCCIONES</t>
  </si>
  <si>
    <t xml:space="preserve">EL OBJETO DEL PRESENTE FORMULARIO ES QUE CADA ENTIDAD DESAGREGUE EL VALOR DE ALGUNOS RUBROS DEL CLASIFICADOR ACTUAL EN CONCEPTOS DE CLASIFICACION ECONOMICA </t>
  </si>
  <si>
    <t>AL FRENTE DE CADA RUBRO DEL CLASIFICADOR ACTUAL SE SEÑALA LOS CONCEPTOS ECONOMICOS EN QUE SE DEBE DESAGREGAR LA INFORMACIÓN DEL ANTEPROYECTO DE PRESUPUESTO DE LA VIGENCIA A PROGRAMAR</t>
  </si>
  <si>
    <t>Los renglones SECCION, UNIDAD EJECUTORA Y ORGANO se diligencian con la misma información que se diligencio estos conceptos en los formularios de Ingresos y el de Gastos</t>
  </si>
  <si>
    <t>Las columnas A y B contienen el clasificador actual y su respectivo concepto</t>
  </si>
  <si>
    <t>Solo se debe diligenciar las celdas en blanco de las columnas C, D, H e I</t>
  </si>
  <si>
    <t>El valor que se coloque en las celdas en blanco de las columnas C y D, debe corresponder a los valores anotados en el formulario de gastos para los conceptos respectivos</t>
  </si>
  <si>
    <t>En la columna G se indica los conceptos de las cuentas económicas en las que se puede desagregar cada rubro del clasificador actual</t>
  </si>
  <si>
    <t>En las celdas en blanco de las columnas H e I se debe anotar la desagregacón de los valores anotados en las columnas C y D, de acuerdo a los conceptos permitidos según la columna G</t>
  </si>
  <si>
    <t xml:space="preserve">Si la suma de los valores de las celdas de las columnas H e I que desagregan el valor del clasificador actual no es correcta, en la columna J aparecera el texto FALSO, en caso de estar bien en la columna J aparecera la suma de la columna H mas la columna </t>
  </si>
  <si>
    <r>
      <t xml:space="preserve">El concepto economico </t>
    </r>
    <r>
      <rPr>
        <b/>
        <sz val="8"/>
        <color indexed="8"/>
        <rFont val="Arial"/>
        <family val="2"/>
      </rPr>
      <t>Propiedad planta y equipo</t>
    </r>
    <r>
      <rPr>
        <sz val="8"/>
        <color indexed="8"/>
        <rFont val="Arial"/>
        <family val="2"/>
      </rPr>
      <t xml:space="preserve"> se refiere a los conceptos actuales de muebles, equipo y similiares que se programan en Adquisición de Bienes y Servicios</t>
    </r>
  </si>
  <si>
    <r>
      <t>Derechos sobre bienes intagibles</t>
    </r>
    <r>
      <rPr>
        <sz val="8"/>
        <color indexed="8"/>
        <rFont val="Arial"/>
        <family val="2"/>
      </rPr>
      <t xml:space="preserve"> corresponde a gastos por derechos de autor, patentes, marcas de fabrica que forman parte de la Adquisición de Servicios actualmente.</t>
    </r>
  </si>
  <si>
    <r>
      <t xml:space="preserve">El concepto economico </t>
    </r>
    <r>
      <rPr>
        <b/>
        <sz val="8"/>
        <color indexed="8"/>
        <rFont val="Arial"/>
        <family val="2"/>
      </rPr>
      <t>Arrendamientos</t>
    </r>
    <r>
      <rPr>
        <sz val="8"/>
        <color indexed="8"/>
        <rFont val="Arial"/>
        <family val="2"/>
      </rPr>
      <t xml:space="preserve"> se refiere a los gastos de este tipo incluidos actualmente en Adquisición de Servicios</t>
    </r>
  </si>
  <si>
    <t>Se solicita que el concepto actual Destinarios de las otras transferencias de capital se discriminen de acuerdo al sector que las va a recibir (Privado, Publico o Externo)</t>
  </si>
  <si>
    <t>Formulario 3</t>
  </si>
  <si>
    <t>Sistema General de Participaciones - Agua Potable y Saneamiento Básico, Artículo 1 Ley 1176 de 2007</t>
  </si>
  <si>
    <t>(t+1)</t>
  </si>
  <si>
    <t>Proyectado vigencia en curso (t)</t>
  </si>
  <si>
    <t>Gastos programados (t+1)</t>
  </si>
  <si>
    <t>Pagos Próxima Vigencia, (t+1), (Pesos Colombianos)</t>
  </si>
  <si>
    <t>Pagos Próxima Vigencia, (t+1), (Moneda Original)</t>
  </si>
  <si>
    <t>Participación agua potable y saneamiento básico</t>
  </si>
  <si>
    <t>Sistema General de Participaciones - Educación, Articulo 4 Ley 715 de 2001. Distribución previo concepto DNP</t>
  </si>
  <si>
    <t>Sistema General de Participaciones - Salud, Articulo 4 Ley 715 de 2001. Distribución previo concepto DNP</t>
  </si>
  <si>
    <t>Sistema General de Participaciones - Propósito General, Articulo 4 Ley 715 de 2001. Distribución previo concepto DNP</t>
  </si>
  <si>
    <t>(t)</t>
  </si>
  <si>
    <t>MINISTERIO DE HACIENDA Y CRÉDITO PÚBLICO</t>
  </si>
  <si>
    <t>ÓRGANO:</t>
  </si>
  <si>
    <t>SECCIÓN:</t>
  </si>
  <si>
    <t>CONTRIBUCIONES PARAFISCALES</t>
  </si>
  <si>
    <t>Otros recursos del balance</t>
  </si>
  <si>
    <t>APORTES DE LA NACIÓN</t>
  </si>
  <si>
    <t>Fondos Especiales</t>
  </si>
  <si>
    <t>Otros ingresos corrientes</t>
  </si>
  <si>
    <t>Ing. por U.P.C. Régimen Contributivo</t>
  </si>
  <si>
    <t>Ing. por U.P.C. Régimen Subsidiado</t>
  </si>
  <si>
    <t>Ingr. administrados del Fosyga</t>
  </si>
  <si>
    <t>INFORMACIÓN COMPLEMENTARIA PARA LA CLASIFICACIÓN ECONÓMICA DE LOS GASTOS DE FUNCIONAMIENTO</t>
  </si>
  <si>
    <t>CLASIFICADOR ECONÓMICO</t>
  </si>
  <si>
    <t>ADQUISICIÓN DE BIENES Y SERVICIOS</t>
  </si>
  <si>
    <t>ADQUISICIÓN, CONSTRUCCIÓN O MEJORA DE ACTIVOS REALES O NO FINANCIEROS</t>
  </si>
  <si>
    <r>
      <t xml:space="preserve">VALOR CLASIFICADOR ACTUAL       </t>
    </r>
    <r>
      <rPr>
        <b/>
        <sz val="8"/>
        <color indexed="8"/>
        <rFont val="Arial"/>
        <family val="2"/>
      </rPr>
      <t>APORTES NACIÓN</t>
    </r>
  </si>
  <si>
    <r>
      <t xml:space="preserve">VALOR CLASIFICADOR ECONÓMICO                      </t>
    </r>
    <r>
      <rPr>
        <b/>
        <sz val="8"/>
        <color indexed="8"/>
        <rFont val="Arial"/>
        <family val="2"/>
      </rPr>
      <t>TOTAL</t>
    </r>
  </si>
  <si>
    <r>
      <t xml:space="preserve">VALOR CLASIFICADOR ECONÓMICO </t>
    </r>
    <r>
      <rPr>
        <b/>
        <sz val="8"/>
        <color indexed="8"/>
        <rFont val="Arial"/>
        <family val="2"/>
      </rPr>
      <t>RECURSOS PROPIOS</t>
    </r>
  </si>
  <si>
    <r>
      <t xml:space="preserve">VALOR CLASIFICADOR ECONÓMICO </t>
    </r>
    <r>
      <rPr>
        <b/>
        <sz val="8"/>
        <color indexed="8"/>
        <rFont val="Arial"/>
        <family val="2"/>
      </rPr>
      <t>APORTES NACIÓN</t>
    </r>
  </si>
  <si>
    <t>CONCEPTO ECONÓMICO</t>
  </si>
  <si>
    <t>CAPÍTULO DE GASTOS E INVERSIONES DE CAPITAL</t>
  </si>
  <si>
    <t>PLANTA DE PERSONAL PRÓXIMA VIGENCIA</t>
  </si>
  <si>
    <t>DIRECCIÓN GENERAL DEL PRESUPUESTO PÚBLICO NACIONAL</t>
  </si>
  <si>
    <t>CERTIFICACIÓN DE NÓMINA</t>
  </si>
  <si>
    <t>COSTO NÓMINA PERSONAL</t>
  </si>
  <si>
    <t>DENOMINACIÓN DE CARGO</t>
  </si>
  <si>
    <t>PAGOS PROGRAMADOS DEUDA PÚBLICA - VIGENCIA __________________</t>
  </si>
  <si>
    <t>RECURSOS DISPONIBLES PARA INVERSIÓN</t>
  </si>
  <si>
    <t>DEUDA PÚBLICA</t>
  </si>
  <si>
    <t>Nota: La lista de rubros vigentes se pueden consultar en http://www.minhacienda.gov.co Icono Presupuesto/Ley de Presuesto 2011/Protocolo Creación de Rubros, Listado de rubros vigentes 2011</t>
  </si>
  <si>
    <t>SECCIÓN: 1309</t>
  </si>
  <si>
    <t>UNIDAD EJECUTORA: 130900</t>
  </si>
  <si>
    <t>ÓRGANO: SUPERINTENDENCIA DE LA ECONOMIA SOLIDARIA</t>
  </si>
  <si>
    <t>ANTEPROYECTO DE PRESUPUESTO DE INGRESOS - VIGENCIA   2013</t>
  </si>
  <si>
    <t>Tasas, Multas y Contribuciones</t>
  </si>
  <si>
    <t>ANTEPROYECTO DE PRESUPUESTO DE GASTOS - VIGENCIA  2013</t>
  </si>
  <si>
    <t>IPC 3,00%</t>
  </si>
  <si>
    <t>SUPERINTENDENCIA DE LA ECONOMIA SOLIDARIA</t>
  </si>
  <si>
    <t>Otros ingresos por venta de bienes y servicios</t>
  </si>
  <si>
    <t>Reg. De actos</t>
  </si>
  <si>
    <t>Certificados</t>
  </si>
  <si>
    <t>DENOMINACION DEL CARGO</t>
  </si>
  <si>
    <t>GRADO</t>
  </si>
  <si>
    <t>No.  Cargos</t>
  </si>
  <si>
    <t>Prestaciones Sociales Legales</t>
  </si>
  <si>
    <t>Prima Técnica Factor</t>
  </si>
  <si>
    <t>Prima Técnica No Factor</t>
  </si>
  <si>
    <t>ANTIG/AÑO</t>
  </si>
  <si>
    <t>Subsidio de Transporte</t>
  </si>
  <si>
    <t>Auxilio de Alimentación</t>
  </si>
  <si>
    <t>Bonificación Servicios Prestados</t>
  </si>
  <si>
    <t>Prima de Servicio</t>
  </si>
  <si>
    <t>Prima de Vacaciones</t>
  </si>
  <si>
    <t>Prima de Navidad</t>
  </si>
  <si>
    <t>Bonificación por Recreación</t>
  </si>
  <si>
    <t>Superintendente</t>
  </si>
  <si>
    <t>0030-25</t>
  </si>
  <si>
    <t xml:space="preserve">Superintendente Delegado </t>
  </si>
  <si>
    <t xml:space="preserve"> 0110-22</t>
  </si>
  <si>
    <t xml:space="preserve">Secretario General </t>
  </si>
  <si>
    <t xml:space="preserve"> 0037-22</t>
  </si>
  <si>
    <t xml:space="preserve">Intendente </t>
  </si>
  <si>
    <t xml:space="preserve"> 0138-19</t>
  </si>
  <si>
    <t xml:space="preserve">Jefe Oficina </t>
  </si>
  <si>
    <t xml:space="preserve"> 0137-17</t>
  </si>
  <si>
    <t xml:space="preserve">Asesor </t>
  </si>
  <si>
    <t xml:space="preserve"> 1020-11</t>
  </si>
  <si>
    <t xml:space="preserve"> 1045-13</t>
  </si>
  <si>
    <t xml:space="preserve">Profesional especializado </t>
  </si>
  <si>
    <t>2028-17</t>
  </si>
  <si>
    <t>2028-15</t>
  </si>
  <si>
    <t>2028-13</t>
  </si>
  <si>
    <t xml:space="preserve">Profesional universitario </t>
  </si>
  <si>
    <t>2044-11</t>
  </si>
  <si>
    <t>2044-09</t>
  </si>
  <si>
    <t>NIVEL TECNICO</t>
  </si>
  <si>
    <t xml:space="preserve">Técnico administrativo </t>
  </si>
  <si>
    <t>3124-15</t>
  </si>
  <si>
    <t xml:space="preserve">Secretaria ejecutiva </t>
  </si>
  <si>
    <t>4210-22</t>
  </si>
  <si>
    <t>4210-18</t>
  </si>
  <si>
    <t>4210-15</t>
  </si>
  <si>
    <t xml:space="preserve">Auxiliar administrativo </t>
  </si>
  <si>
    <t>4044-13</t>
  </si>
  <si>
    <t xml:space="preserve">Auxiliar servicios generales </t>
  </si>
  <si>
    <t>4064-07</t>
  </si>
  <si>
    <t xml:space="preserve">Conductor mecánico </t>
  </si>
  <si>
    <t>4103-11</t>
  </si>
  <si>
    <t>4103-13</t>
  </si>
  <si>
    <t>Total Prima Técnica</t>
  </si>
  <si>
    <t>INCREMENTO DEL 5,00% SEGÚN INSTRUCCIONES DE LA DGPPN</t>
  </si>
  <si>
    <t>Horas Extras</t>
  </si>
  <si>
    <t>Indemnización Vacaciones</t>
  </si>
  <si>
    <t>TOTAL</t>
  </si>
  <si>
    <t>Sobresueldo de Coordinadores</t>
  </si>
  <si>
    <t>Total Otras Primas No Factor</t>
  </si>
  <si>
    <t>Cesantías o FNA</t>
  </si>
  <si>
    <t>Aportes Pensiones  PUBLICO 30%</t>
  </si>
  <si>
    <t>Aportes Salud   PUBLICO</t>
  </si>
  <si>
    <t>Aportes Previsión ARP</t>
  </si>
  <si>
    <t>SENA y ESAP</t>
  </si>
  <si>
    <t>Caja de Compensación Familiar</t>
  </si>
  <si>
    <t>Aportes Pensiones Privado  71%</t>
  </si>
  <si>
    <t xml:space="preserve">Aportes Salud Privados  </t>
  </si>
  <si>
    <t>MINISTERIO DE HACIENDA Y CREDITO PUBLICO</t>
  </si>
  <si>
    <t>ORGANO: SUPERINTENDENCIA DE LA ECONOMIA SOLIDARIA</t>
  </si>
  <si>
    <t>Volúmenes</t>
  </si>
  <si>
    <t>Próx. Vig.</t>
  </si>
  <si>
    <t>Tasa de contribucion</t>
  </si>
  <si>
    <t>Contribucion</t>
  </si>
  <si>
    <t>servicios</t>
  </si>
  <si>
    <t>2.2. OPERACION COMERCIAL</t>
  </si>
  <si>
    <t>CALCULO DE LOS INGRESOS CORRIENTES POR PRODUCTO - VIGENCIA _2013</t>
  </si>
</sst>
</file>

<file path=xl/styles.xml><?xml version="1.0" encoding="utf-8"?>
<styleSheet xmlns="http://schemas.openxmlformats.org/spreadsheetml/2006/main">
  <numFmts count="6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%"/>
    <numFmt numFmtId="201" formatCode="#,##0.0_);\(#,##0.0\)"/>
    <numFmt numFmtId="202" formatCode="#,##0.0"/>
    <numFmt numFmtId="203" formatCode="#,##0.0_);[Red]\(#,##0.0\)"/>
    <numFmt numFmtId="204" formatCode="#,##0.000_);\(#,##0.000\)"/>
    <numFmt numFmtId="205" formatCode="#,##0.0000_);\(#,##0.0000\)"/>
    <numFmt numFmtId="206" formatCode="#,##0.00000_);\(#,##0.00000\)"/>
    <numFmt numFmtId="207" formatCode="0.0"/>
    <numFmt numFmtId="208" formatCode="0_)"/>
    <numFmt numFmtId="209" formatCode="0.000%"/>
    <numFmt numFmtId="210" formatCode="0.0000%"/>
    <numFmt numFmtId="211" formatCode="_(* #,##0.0_);_(* \(#,##0.0\);_(* &quot;-&quot;??_);_(@_)"/>
    <numFmt numFmtId="212" formatCode="#,##0_ ;[Red]\-#,##0\ "/>
    <numFmt numFmtId="213" formatCode="#,###"/>
    <numFmt numFmtId="214" formatCode="#,##0;[Red]#,##0"/>
    <numFmt numFmtId="215" formatCode="_ [$€-2]\ * #,##0.00_ ;_ [$€-2]\ * \-#,##0.00_ ;_ [$€-2]\ * &quot;-&quot;??_ "/>
    <numFmt numFmtId="216" formatCode="_-* #,##0\ _p_t_a_-;\-* #,##0\ _p_t_a_-;_-* &quot;-&quot;\ _p_t_a_-;_-@_-"/>
    <numFmt numFmtId="217" formatCode="_-* #,##0.00\ _p_t_a_-;\-* #,##0.00\ _p_t_a_-;_-* &quot;-&quot;??\ _p_t_a_-;_-@_-"/>
    <numFmt numFmtId="218" formatCode="0_);\(0\)"/>
    <numFmt numFmtId="219" formatCode="0;[Red]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215" fontId="0" fillId="0" borderId="0" applyFon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53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1" fillId="0" borderId="0" xfId="0" applyFont="1" applyBorder="1" applyAlignment="1">
      <alignment/>
    </xf>
    <xf numFmtId="37" fontId="1" fillId="33" borderId="11" xfId="0" applyFont="1" applyFill="1" applyBorder="1" applyAlignment="1">
      <alignment horizontal="center"/>
    </xf>
    <xf numFmtId="37" fontId="1" fillId="33" borderId="13" xfId="0" applyFont="1" applyFill="1" applyBorder="1" applyAlignment="1">
      <alignment horizontal="center"/>
    </xf>
    <xf numFmtId="37" fontId="1" fillId="33" borderId="12" xfId="0" applyFont="1" applyFill="1" applyBorder="1" applyAlignment="1">
      <alignment horizontal="center"/>
    </xf>
    <xf numFmtId="37" fontId="1" fillId="33" borderId="14" xfId="0" applyFont="1" applyFill="1" applyBorder="1" applyAlignment="1">
      <alignment horizontal="center"/>
    </xf>
    <xf numFmtId="37" fontId="1" fillId="33" borderId="14" xfId="0" applyFont="1" applyFill="1" applyBorder="1" applyAlignment="1" quotePrefix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13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0" xfId="0" applyNumberFormat="1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horizontal="right"/>
    </xf>
    <xf numFmtId="37" fontId="6" fillId="0" borderId="0" xfId="0" applyFont="1" applyAlignment="1">
      <alignment/>
    </xf>
    <xf numFmtId="37" fontId="7" fillId="0" borderId="10" xfId="0" applyFont="1" applyBorder="1" applyAlignment="1">
      <alignment/>
    </xf>
    <xf numFmtId="37" fontId="1" fillId="0" borderId="0" xfId="0" applyFont="1" applyAlignment="1">
      <alignment horizontal="right"/>
    </xf>
    <xf numFmtId="37" fontId="0" fillId="34" borderId="0" xfId="0" applyFill="1" applyAlignment="1">
      <alignment/>
    </xf>
    <xf numFmtId="37" fontId="1" fillId="33" borderId="15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0" fillId="0" borderId="0" xfId="0" applyAlignment="1">
      <alignment horizontal="centerContinuous"/>
    </xf>
    <xf numFmtId="37" fontId="6" fillId="0" borderId="0" xfId="0" applyFont="1" applyAlignment="1">
      <alignment horizontal="centerContinuous"/>
    </xf>
    <xf numFmtId="37" fontId="1" fillId="0" borderId="17" xfId="0" applyFont="1" applyBorder="1" applyAlignment="1">
      <alignment/>
    </xf>
    <xf numFmtId="37" fontId="1" fillId="0" borderId="11" xfId="0" applyFont="1" applyBorder="1" applyAlignment="1">
      <alignment/>
    </xf>
    <xf numFmtId="37" fontId="3" fillId="0" borderId="10" xfId="0" applyFont="1" applyBorder="1" applyAlignment="1">
      <alignment/>
    </xf>
    <xf numFmtId="37" fontId="1" fillId="34" borderId="11" xfId="0" applyFont="1" applyFill="1" applyBorder="1" applyAlignment="1">
      <alignment/>
    </xf>
    <xf numFmtId="201" fontId="1" fillId="0" borderId="17" xfId="0" applyNumberFormat="1" applyFont="1" applyBorder="1" applyAlignment="1">
      <alignment/>
    </xf>
    <xf numFmtId="37" fontId="4" fillId="0" borderId="0" xfId="0" applyFont="1" applyAlignment="1">
      <alignment horizontal="centerContinuous"/>
    </xf>
    <xf numFmtId="37" fontId="1" fillId="0" borderId="0" xfId="0" applyFont="1" applyAlignment="1">
      <alignment horizontal="centerContinuous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201" fontId="1" fillId="0" borderId="20" xfId="0" applyNumberFormat="1" applyFont="1" applyBorder="1" applyAlignment="1">
      <alignment/>
    </xf>
    <xf numFmtId="37" fontId="0" fillId="0" borderId="0" xfId="0" applyBorder="1" applyAlignment="1">
      <alignment horizontal="right"/>
    </xf>
    <xf numFmtId="37" fontId="1" fillId="35" borderId="2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Continuous"/>
    </xf>
    <xf numFmtId="37" fontId="1" fillId="35" borderId="23" xfId="0" applyFont="1" applyFill="1" applyBorder="1" applyAlignment="1">
      <alignment horizontal="centerContinuous"/>
    </xf>
    <xf numFmtId="37" fontId="1" fillId="35" borderId="24" xfId="0" applyFont="1" applyFill="1" applyBorder="1" applyAlignment="1">
      <alignment horizontal="centerContinuous"/>
    </xf>
    <xf numFmtId="37" fontId="1" fillId="35" borderId="18" xfId="0" applyFont="1" applyFill="1" applyBorder="1" applyAlignment="1">
      <alignment/>
    </xf>
    <xf numFmtId="37" fontId="1" fillId="35" borderId="11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Continuous"/>
    </xf>
    <xf numFmtId="37" fontId="1" fillId="35" borderId="19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13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0" xfId="0" applyBorder="1" applyAlignment="1">
      <alignment horizontal="centerContinuous"/>
    </xf>
    <xf numFmtId="37" fontId="0" fillId="0" borderId="32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1" fillId="35" borderId="36" xfId="0" applyFont="1" applyFill="1" applyBorder="1" applyAlignment="1">
      <alignment/>
    </xf>
    <xf numFmtId="37" fontId="1" fillId="35" borderId="37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35" xfId="0" applyFont="1" applyFill="1" applyBorder="1" applyAlignment="1">
      <alignment/>
    </xf>
    <xf numFmtId="37" fontId="1" fillId="35" borderId="13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38" xfId="0" applyFont="1" applyFill="1" applyBorder="1" applyAlignment="1">
      <alignment/>
    </xf>
    <xf numFmtId="37" fontId="1" fillId="35" borderId="39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6" fillId="0" borderId="0" xfId="0" applyFont="1" applyBorder="1" applyAlignment="1">
      <alignment/>
    </xf>
    <xf numFmtId="202" fontId="0" fillId="34" borderId="14" xfId="0" applyNumberFormat="1" applyFont="1" applyFill="1" applyBorder="1" applyAlignment="1">
      <alignment/>
    </xf>
    <xf numFmtId="37" fontId="1" fillId="33" borderId="16" xfId="0" applyFont="1" applyFill="1" applyBorder="1" applyAlignment="1">
      <alignment horizontal="centerContinuous"/>
    </xf>
    <xf numFmtId="202" fontId="0" fillId="0" borderId="40" xfId="0" applyNumberFormat="1" applyBorder="1" applyAlignment="1">
      <alignment/>
    </xf>
    <xf numFmtId="37" fontId="1" fillId="34" borderId="17" xfId="0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7" fontId="1" fillId="0" borderId="12" xfId="0" applyFont="1" applyBorder="1" applyAlignment="1">
      <alignment/>
    </xf>
    <xf numFmtId="1" fontId="1" fillId="34" borderId="12" xfId="0" applyNumberFormat="1" applyFont="1" applyFill="1" applyBorder="1" applyAlignment="1">
      <alignment/>
    </xf>
    <xf numFmtId="37" fontId="0" fillId="0" borderId="36" xfId="0" applyBorder="1" applyAlignment="1">
      <alignment/>
    </xf>
    <xf numFmtId="37" fontId="0" fillId="0" borderId="37" xfId="0" applyBorder="1" applyAlignment="1">
      <alignment/>
    </xf>
    <xf numFmtId="37" fontId="0" fillId="0" borderId="38" xfId="0" applyBorder="1" applyAlignment="1">
      <alignment/>
    </xf>
    <xf numFmtId="37" fontId="0" fillId="0" borderId="39" xfId="0" applyBorder="1" applyAlignment="1">
      <alignment/>
    </xf>
    <xf numFmtId="37" fontId="1" fillId="0" borderId="41" xfId="0" applyFont="1" applyFill="1" applyBorder="1" applyAlignment="1">
      <alignment/>
    </xf>
    <xf numFmtId="37" fontId="1" fillId="0" borderId="42" xfId="0" applyFont="1" applyFill="1" applyBorder="1" applyAlignment="1">
      <alignment horizontal="center"/>
    </xf>
    <xf numFmtId="201" fontId="1" fillId="0" borderId="42" xfId="0" applyNumberFormat="1" applyFont="1" applyFill="1" applyBorder="1" applyAlignment="1">
      <alignment horizontal="right"/>
    </xf>
    <xf numFmtId="201" fontId="1" fillId="0" borderId="43" xfId="0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37" fontId="1" fillId="33" borderId="44" xfId="0" applyFont="1" applyFill="1" applyBorder="1" applyAlignment="1">
      <alignment/>
    </xf>
    <xf numFmtId="37" fontId="0" fillId="33" borderId="17" xfId="0" applyFill="1" applyBorder="1" applyAlignment="1">
      <alignment/>
    </xf>
    <xf numFmtId="37" fontId="0" fillId="33" borderId="20" xfId="0" applyFill="1" applyBorder="1" applyAlignment="1">
      <alignment/>
    </xf>
    <xf numFmtId="37" fontId="0" fillId="0" borderId="18" xfId="0" applyFont="1" applyBorder="1" applyAlignment="1">
      <alignment/>
    </xf>
    <xf numFmtId="37" fontId="0" fillId="0" borderId="44" xfId="0" applyFont="1" applyBorder="1" applyAlignment="1">
      <alignment/>
    </xf>
    <xf numFmtId="201" fontId="0" fillId="33" borderId="17" xfId="0" applyNumberFormat="1" applyFill="1" applyBorder="1" applyAlignment="1">
      <alignment/>
    </xf>
    <xf numFmtId="201" fontId="0" fillId="0" borderId="11" xfId="0" applyNumberFormat="1" applyBorder="1" applyAlignment="1">
      <alignment/>
    </xf>
    <xf numFmtId="201" fontId="0" fillId="0" borderId="17" xfId="0" applyNumberFormat="1" applyFont="1" applyFill="1" applyBorder="1" applyAlignment="1">
      <alignment horizontal="right"/>
    </xf>
    <xf numFmtId="201" fontId="0" fillId="0" borderId="17" xfId="0" applyNumberFormat="1" applyFont="1" applyBorder="1" applyAlignment="1">
      <alignment/>
    </xf>
    <xf numFmtId="1" fontId="8" fillId="36" borderId="12" xfId="0" applyNumberFormat="1" applyFont="1" applyFill="1" applyBorder="1" applyAlignment="1">
      <alignment/>
    </xf>
    <xf numFmtId="37" fontId="8" fillId="36" borderId="12" xfId="0" applyFont="1" applyFill="1" applyBorder="1" applyAlignment="1">
      <alignment/>
    </xf>
    <xf numFmtId="202" fontId="6" fillId="36" borderId="14" xfId="0" applyNumberFormat="1" applyFont="1" applyFill="1" applyBorder="1" applyAlignment="1">
      <alignment/>
    </xf>
    <xf numFmtId="202" fontId="6" fillId="36" borderId="14" xfId="0" applyNumberFormat="1" applyFont="1" applyFill="1" applyBorder="1" applyAlignment="1">
      <alignment/>
    </xf>
    <xf numFmtId="37" fontId="9" fillId="0" borderId="0" xfId="0" applyFont="1" applyAlignment="1">
      <alignment horizontal="centerContinuous"/>
    </xf>
    <xf numFmtId="1" fontId="1" fillId="37" borderId="15" xfId="0" applyNumberFormat="1" applyFont="1" applyFill="1" applyBorder="1" applyAlignment="1">
      <alignment horizontal="center"/>
    </xf>
    <xf numFmtId="37" fontId="1" fillId="37" borderId="15" xfId="0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/>
    </xf>
    <xf numFmtId="37" fontId="1" fillId="37" borderId="11" xfId="0" applyFont="1" applyFill="1" applyBorder="1" applyAlignment="1">
      <alignment horizontal="center"/>
    </xf>
    <xf numFmtId="37" fontId="0" fillId="0" borderId="0" xfId="0" applyFont="1" applyAlignment="1">
      <alignment/>
    </xf>
    <xf numFmtId="37" fontId="6" fillId="0" borderId="0" xfId="0" applyFont="1" applyAlignment="1">
      <alignment horizontal="center"/>
    </xf>
    <xf numFmtId="202" fontId="6" fillId="0" borderId="0" xfId="47" applyNumberFormat="1" applyFont="1" applyAlignment="1">
      <alignment horizontal="center"/>
    </xf>
    <xf numFmtId="202" fontId="0" fillId="0" borderId="0" xfId="47" applyNumberFormat="1" applyAlignment="1">
      <alignment/>
    </xf>
    <xf numFmtId="202" fontId="1" fillId="0" borderId="0" xfId="47" applyNumberFormat="1" applyFont="1" applyAlignment="1">
      <alignment horizontal="right"/>
    </xf>
    <xf numFmtId="202" fontId="0" fillId="0" borderId="0" xfId="47" applyNumberFormat="1" applyBorder="1" applyAlignment="1">
      <alignment/>
    </xf>
    <xf numFmtId="202" fontId="1" fillId="0" borderId="0" xfId="47" applyNumberFormat="1" applyFont="1" applyBorder="1" applyAlignment="1">
      <alignment horizontal="right"/>
    </xf>
    <xf numFmtId="202" fontId="0" fillId="0" borderId="10" xfId="47" applyNumberFormat="1" applyBorder="1" applyAlignment="1">
      <alignment horizontal="right"/>
    </xf>
    <xf numFmtId="202" fontId="1" fillId="37" borderId="40" xfId="47" applyNumberFormat="1" applyFont="1" applyFill="1" applyBorder="1" applyAlignment="1">
      <alignment horizontal="centerContinuous"/>
    </xf>
    <xf numFmtId="202" fontId="1" fillId="37" borderId="13" xfId="47" applyNumberFormat="1" applyFont="1" applyFill="1" applyBorder="1" applyAlignment="1">
      <alignment horizontal="center"/>
    </xf>
    <xf numFmtId="0" fontId="1" fillId="37" borderId="45" xfId="0" applyNumberFormat="1" applyFont="1" applyFill="1" applyBorder="1" applyAlignment="1">
      <alignment horizontal="center"/>
    </xf>
    <xf numFmtId="0" fontId="1" fillId="37" borderId="39" xfId="47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4" fillId="37" borderId="45" xfId="0" applyNumberFormat="1" applyFont="1" applyFill="1" applyBorder="1" applyAlignment="1">
      <alignment vertical="top" wrapText="1"/>
    </xf>
    <xf numFmtId="37" fontId="4" fillId="37" borderId="45" xfId="0" applyFont="1" applyFill="1" applyBorder="1" applyAlignment="1">
      <alignment vertical="top" wrapText="1"/>
    </xf>
    <xf numFmtId="202" fontId="6" fillId="37" borderId="39" xfId="47" applyNumberFormat="1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vertical="top" wrapText="1"/>
    </xf>
    <xf numFmtId="37" fontId="1" fillId="0" borderId="12" xfId="0" applyFont="1" applyFill="1" applyBorder="1" applyAlignment="1">
      <alignment vertical="top" wrapText="1"/>
    </xf>
    <xf numFmtId="202" fontId="0" fillId="0" borderId="14" xfId="47" applyNumberFormat="1" applyFill="1" applyBorder="1" applyAlignment="1">
      <alignment vertical="top" wrapText="1"/>
    </xf>
    <xf numFmtId="1" fontId="0" fillId="0" borderId="17" xfId="0" applyNumberFormat="1" applyBorder="1" applyAlignment="1">
      <alignment vertical="top" wrapText="1"/>
    </xf>
    <xf numFmtId="37" fontId="0" fillId="0" borderId="17" xfId="0" applyBorder="1" applyAlignment="1">
      <alignment vertical="top" wrapText="1"/>
    </xf>
    <xf numFmtId="202" fontId="0" fillId="0" borderId="17" xfId="47" applyNumberFormat="1" applyBorder="1" applyAlignment="1">
      <alignment vertical="top" wrapText="1"/>
    </xf>
    <xf numFmtId="1" fontId="1" fillId="0" borderId="17" xfId="0" applyNumberFormat="1" applyFont="1" applyFill="1" applyBorder="1" applyAlignment="1">
      <alignment vertical="top" wrapText="1"/>
    </xf>
    <xf numFmtId="37" fontId="1" fillId="0" borderId="17" xfId="0" applyFont="1" applyFill="1" applyBorder="1" applyAlignment="1">
      <alignment vertical="top" wrapText="1"/>
    </xf>
    <xf numFmtId="202" fontId="0" fillId="0" borderId="40" xfId="47" applyNumberFormat="1" applyFill="1" applyBorder="1" applyAlignment="1">
      <alignment vertical="top" wrapText="1"/>
    </xf>
    <xf numFmtId="1" fontId="4" fillId="37" borderId="46" xfId="0" applyNumberFormat="1" applyFont="1" applyFill="1" applyBorder="1" applyAlignment="1">
      <alignment vertical="top" wrapText="1"/>
    </xf>
    <xf numFmtId="37" fontId="4" fillId="37" borderId="46" xfId="0" applyFont="1" applyFill="1" applyBorder="1" applyAlignment="1">
      <alignment vertical="top" wrapText="1"/>
    </xf>
    <xf numFmtId="202" fontId="6" fillId="37" borderId="47" xfId="47" applyNumberFormat="1" applyFont="1" applyFill="1" applyBorder="1" applyAlignment="1">
      <alignment vertical="top" wrapText="1"/>
    </xf>
    <xf numFmtId="1" fontId="4" fillId="37" borderId="17" xfId="0" applyNumberFormat="1" applyFont="1" applyFill="1" applyBorder="1" applyAlignment="1">
      <alignment vertical="top" wrapText="1"/>
    </xf>
    <xf numFmtId="37" fontId="4" fillId="37" borderId="17" xfId="0" applyFont="1" applyFill="1" applyBorder="1" applyAlignment="1">
      <alignment vertical="top" wrapText="1"/>
    </xf>
    <xf numFmtId="202" fontId="6" fillId="37" borderId="40" xfId="47" applyNumberFormat="1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vertical="top" wrapText="1"/>
    </xf>
    <xf numFmtId="37" fontId="7" fillId="0" borderId="12" xfId="0" applyFont="1" applyFill="1" applyBorder="1" applyAlignment="1">
      <alignment vertical="top" wrapText="1"/>
    </xf>
    <xf numFmtId="202" fontId="7" fillId="0" borderId="12" xfId="47" applyNumberFormat="1" applyFont="1" applyFill="1" applyBorder="1" applyAlignment="1">
      <alignment vertical="top" wrapText="1"/>
    </xf>
    <xf numFmtId="1" fontId="1" fillId="0" borderId="17" xfId="0" applyNumberFormat="1" applyFont="1" applyFill="1" applyBorder="1" applyAlignment="1">
      <alignment vertical="top" wrapText="1"/>
    </xf>
    <xf numFmtId="37" fontId="1" fillId="0" borderId="17" xfId="0" applyFont="1" applyFill="1" applyBorder="1" applyAlignment="1">
      <alignment vertical="top" wrapText="1"/>
    </xf>
    <xf numFmtId="202" fontId="1" fillId="0" borderId="40" xfId="47" applyNumberFormat="1" applyFont="1" applyFill="1" applyBorder="1" applyAlignment="1">
      <alignment vertical="top" wrapText="1"/>
    </xf>
    <xf numFmtId="1" fontId="0" fillId="34" borderId="11" xfId="0" applyNumberFormat="1" applyFont="1" applyFill="1" applyBorder="1" applyAlignment="1">
      <alignment vertical="top" wrapText="1"/>
    </xf>
    <xf numFmtId="37" fontId="0" fillId="34" borderId="11" xfId="0" applyFont="1" applyFill="1" applyBorder="1" applyAlignment="1">
      <alignment vertical="top" wrapText="1"/>
    </xf>
    <xf numFmtId="202" fontId="0" fillId="34" borderId="13" xfId="47" applyNumberFormat="1" applyFont="1" applyFill="1" applyBorder="1" applyAlignment="1">
      <alignment vertical="top" wrapText="1"/>
    </xf>
    <xf numFmtId="1" fontId="7" fillId="0" borderId="17" xfId="0" applyNumberFormat="1" applyFont="1" applyFill="1" applyBorder="1" applyAlignment="1">
      <alignment vertical="top" wrapText="1"/>
    </xf>
    <xf numFmtId="37" fontId="7" fillId="0" borderId="17" xfId="0" applyFont="1" applyFill="1" applyBorder="1" applyAlignment="1">
      <alignment vertical="top" wrapText="1"/>
    </xf>
    <xf numFmtId="202" fontId="7" fillId="0" borderId="40" xfId="47" applyNumberFormat="1" applyFont="1" applyFill="1" applyBorder="1" applyAlignment="1">
      <alignment vertical="top" wrapText="1"/>
    </xf>
    <xf numFmtId="202" fontId="1" fillId="0" borderId="14" xfId="47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vertical="top" wrapText="1"/>
    </xf>
    <xf numFmtId="37" fontId="0" fillId="0" borderId="12" xfId="0" applyFill="1" applyBorder="1" applyAlignment="1">
      <alignment vertical="top" wrapText="1"/>
    </xf>
    <xf numFmtId="1" fontId="0" fillId="0" borderId="11" xfId="0" applyNumberFormat="1" applyFont="1" applyFill="1" applyBorder="1" applyAlignment="1">
      <alignment vertical="top" wrapText="1"/>
    </xf>
    <xf numFmtId="37" fontId="0" fillId="0" borderId="11" xfId="0" applyFont="1" applyFill="1" applyBorder="1" applyAlignment="1">
      <alignment vertical="top" wrapText="1"/>
    </xf>
    <xf numFmtId="202" fontId="0" fillId="0" borderId="13" xfId="47" applyNumberFormat="1" applyFill="1" applyBorder="1" applyAlignment="1">
      <alignment vertical="top" wrapText="1"/>
    </xf>
    <xf numFmtId="1" fontId="0" fillId="0" borderId="12" xfId="0" applyNumberFormat="1" applyFont="1" applyFill="1" applyBorder="1" applyAlignment="1">
      <alignment vertical="top" wrapText="1"/>
    </xf>
    <xf numFmtId="37" fontId="0" fillId="0" borderId="12" xfId="0" applyFont="1" applyFill="1" applyBorder="1" applyAlignment="1">
      <alignment vertical="top" wrapText="1"/>
    </xf>
    <xf numFmtId="1" fontId="0" fillId="0" borderId="11" xfId="0" applyNumberFormat="1" applyFill="1" applyBorder="1" applyAlignment="1">
      <alignment vertical="top" wrapText="1"/>
    </xf>
    <xf numFmtId="37" fontId="0" fillId="0" borderId="11" xfId="0" applyFill="1" applyBorder="1" applyAlignment="1">
      <alignment vertical="top" wrapText="1"/>
    </xf>
    <xf numFmtId="202" fontId="1" fillId="0" borderId="17" xfId="47" applyNumberFormat="1" applyFont="1" applyFill="1" applyBorder="1" applyAlignment="1">
      <alignment vertical="top" wrapText="1"/>
    </xf>
    <xf numFmtId="202" fontId="4" fillId="37" borderId="40" xfId="47" applyNumberFormat="1" applyFont="1" applyFill="1" applyBorder="1" applyAlignment="1">
      <alignment vertical="top" wrapText="1"/>
    </xf>
    <xf numFmtId="202" fontId="7" fillId="0" borderId="14" xfId="47" applyNumberFormat="1" applyFont="1" applyFill="1" applyBorder="1" applyAlignment="1">
      <alignment vertical="top" wrapText="1"/>
    </xf>
    <xf numFmtId="202" fontId="4" fillId="37" borderId="40" xfId="47" applyNumberFormat="1" applyFont="1" applyFill="1" applyBorder="1" applyAlignment="1">
      <alignment vertical="top" wrapText="1"/>
    </xf>
    <xf numFmtId="202" fontId="1" fillId="0" borderId="40" xfId="47" applyNumberFormat="1" applyFont="1" applyFill="1" applyBorder="1" applyAlignment="1">
      <alignment vertical="top" wrapText="1"/>
    </xf>
    <xf numFmtId="1" fontId="8" fillId="35" borderId="45" xfId="0" applyNumberFormat="1" applyFont="1" applyFill="1" applyBorder="1" applyAlignment="1">
      <alignment vertical="top" wrapText="1"/>
    </xf>
    <xf numFmtId="37" fontId="8" fillId="35" borderId="45" xfId="0" applyFont="1" applyFill="1" applyBorder="1" applyAlignment="1">
      <alignment vertical="top" wrapText="1"/>
    </xf>
    <xf numFmtId="202" fontId="4" fillId="35" borderId="39" xfId="47" applyNumberFormat="1" applyFont="1" applyFill="1" applyBorder="1" applyAlignment="1">
      <alignment vertical="top" wrapText="1"/>
    </xf>
    <xf numFmtId="1" fontId="4" fillId="37" borderId="12" xfId="0" applyNumberFormat="1" applyFont="1" applyFill="1" applyBorder="1" applyAlignment="1">
      <alignment vertical="top" wrapText="1"/>
    </xf>
    <xf numFmtId="37" fontId="4" fillId="37" borderId="12" xfId="0" applyFont="1" applyFill="1" applyBorder="1" applyAlignment="1">
      <alignment vertical="top" wrapText="1"/>
    </xf>
    <xf numFmtId="202" fontId="7" fillId="37" borderId="14" xfId="47" applyNumberFormat="1" applyFont="1" applyFill="1" applyBorder="1" applyAlignment="1">
      <alignment vertical="top" wrapText="1"/>
    </xf>
    <xf numFmtId="202" fontId="0" fillId="0" borderId="10" xfId="47" applyNumberFormat="1" applyBorder="1" applyAlignment="1">
      <alignment/>
    </xf>
    <xf numFmtId="202" fontId="0" fillId="0" borderId="13" xfId="47" applyNumberFormat="1" applyBorder="1" applyAlignment="1">
      <alignment/>
    </xf>
    <xf numFmtId="202" fontId="1" fillId="0" borderId="40" xfId="47" applyNumberFormat="1" applyFont="1" applyBorder="1" applyAlignment="1">
      <alignment/>
    </xf>
    <xf numFmtId="37" fontId="8" fillId="0" borderId="0" xfId="0" applyFont="1" applyBorder="1" applyAlignment="1">
      <alignment horizontal="centerContinuous"/>
    </xf>
    <xf numFmtId="37" fontId="1" fillId="0" borderId="0" xfId="0" applyFont="1" applyAlignment="1">
      <alignment horizontal="centerContinuous"/>
    </xf>
    <xf numFmtId="0" fontId="12" fillId="0" borderId="31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Border="1" applyAlignment="1" applyProtection="1">
      <alignment horizontal="centerContinuous" vertical="center"/>
      <protection/>
    </xf>
    <xf numFmtId="0" fontId="12" fillId="0" borderId="32" xfId="0" applyNumberFormat="1" applyFont="1" applyFill="1" applyBorder="1" applyAlignment="1" applyProtection="1">
      <alignment horizontal="centerContinuous" vertical="center"/>
      <protection/>
    </xf>
    <xf numFmtId="0" fontId="11" fillId="0" borderId="31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Border="1" applyAlignment="1" applyProtection="1">
      <alignment horizontal="centerContinuous" vertical="center"/>
      <protection/>
    </xf>
    <xf numFmtId="0" fontId="13" fillId="0" borderId="32" xfId="0" applyNumberFormat="1" applyFont="1" applyFill="1" applyBorder="1" applyAlignment="1" applyProtection="1">
      <alignment horizontal="centerContinuous" vertical="center"/>
      <protection/>
    </xf>
    <xf numFmtId="0" fontId="11" fillId="0" borderId="31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3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52" xfId="0" applyNumberFormat="1" applyFont="1" applyFill="1" applyBorder="1" applyAlignment="1" applyProtection="1">
      <alignment horizontal="center" vertical="center" wrapText="1"/>
      <protection/>
    </xf>
    <xf numFmtId="212" fontId="15" fillId="0" borderId="52" xfId="0" applyNumberFormat="1" applyFont="1" applyFill="1" applyBorder="1" applyAlignment="1" applyProtection="1">
      <alignment horizontal="center" vertical="center" wrapText="1"/>
      <protection/>
    </xf>
    <xf numFmtId="212" fontId="15" fillId="0" borderId="53" xfId="0" applyNumberFormat="1" applyFont="1" applyFill="1" applyBorder="1" applyAlignment="1" applyProtection="1">
      <alignment horizontal="center" vertical="center" wrapText="1"/>
      <protection/>
    </xf>
    <xf numFmtId="212" fontId="15" fillId="0" borderId="15" xfId="0" applyNumberFormat="1" applyFont="1" applyFill="1" applyBorder="1" applyAlignment="1" applyProtection="1">
      <alignment horizontal="center" vertical="center" wrapText="1"/>
      <protection/>
    </xf>
    <xf numFmtId="212" fontId="15" fillId="0" borderId="54" xfId="0" applyNumberFormat="1" applyFont="1" applyFill="1" applyBorder="1" applyAlignment="1" applyProtection="1">
      <alignment horizontal="center" vertical="center" wrapText="1"/>
      <protection/>
    </xf>
    <xf numFmtId="0" fontId="15" fillId="0" borderId="55" xfId="0" applyNumberFormat="1" applyFont="1" applyFill="1" applyBorder="1" applyAlignment="1" applyProtection="1">
      <alignment vertical="center"/>
      <protection/>
    </xf>
    <xf numFmtId="0" fontId="16" fillId="0" borderId="56" xfId="0" applyNumberFormat="1" applyFont="1" applyFill="1" applyBorder="1" applyAlignment="1" applyProtection="1">
      <alignment vertical="center"/>
      <protection/>
    </xf>
    <xf numFmtId="213" fontId="15" fillId="38" borderId="56" xfId="0" applyNumberFormat="1" applyFont="1" applyFill="1" applyBorder="1" applyAlignment="1" applyProtection="1">
      <alignment vertical="center"/>
      <protection/>
    </xf>
    <xf numFmtId="213" fontId="15" fillId="38" borderId="57" xfId="0" applyNumberFormat="1" applyFont="1" applyFill="1" applyBorder="1" applyAlignment="1" applyProtection="1">
      <alignment vertical="center"/>
      <protection/>
    </xf>
    <xf numFmtId="0" fontId="15" fillId="0" borderId="55" xfId="0" applyNumberFormat="1" applyFont="1" applyFill="1" applyBorder="1" applyAlignment="1" applyProtection="1">
      <alignment horizontal="left" vertical="center"/>
      <protection/>
    </xf>
    <xf numFmtId="0" fontId="15" fillId="0" borderId="56" xfId="0" applyNumberFormat="1" applyFont="1" applyFill="1" applyBorder="1" applyAlignment="1" applyProtection="1">
      <alignment vertical="center"/>
      <protection/>
    </xf>
    <xf numFmtId="213" fontId="15" fillId="38" borderId="17" xfId="0" applyNumberFormat="1" applyFont="1" applyFill="1" applyBorder="1" applyAlignment="1" applyProtection="1">
      <alignment vertical="center"/>
      <protection/>
    </xf>
    <xf numFmtId="0" fontId="15" fillId="0" borderId="58" xfId="0" applyNumberFormat="1" applyFont="1" applyFill="1" applyBorder="1" applyAlignment="1" applyProtection="1">
      <alignment vertical="center"/>
      <protection/>
    </xf>
    <xf numFmtId="0" fontId="15" fillId="0" borderId="15" xfId="0" applyNumberFormat="1" applyFont="1" applyFill="1" applyBorder="1" applyAlignment="1" applyProtection="1">
      <alignment horizontal="left" vertical="center" indent="1"/>
      <protection/>
    </xf>
    <xf numFmtId="213" fontId="15" fillId="38" borderId="49" xfId="0" applyNumberFormat="1" applyFont="1" applyFill="1" applyBorder="1" applyAlignment="1" applyProtection="1">
      <alignment vertical="center"/>
      <protection/>
    </xf>
    <xf numFmtId="0" fontId="15" fillId="0" borderId="48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vertical="center"/>
      <protection/>
    </xf>
    <xf numFmtId="213" fontId="15" fillId="0" borderId="17" xfId="0" applyNumberFormat="1" applyFont="1" applyFill="1" applyBorder="1" applyAlignment="1" applyProtection="1">
      <alignment vertical="center"/>
      <protection/>
    </xf>
    <xf numFmtId="213" fontId="15" fillId="39" borderId="17" xfId="0" applyNumberFormat="1" applyFont="1" applyFill="1" applyBorder="1" applyAlignment="1" applyProtection="1">
      <alignment vertical="center"/>
      <protection/>
    </xf>
    <xf numFmtId="0" fontId="15" fillId="0" borderId="50" xfId="0" applyNumberFormat="1" applyFont="1" applyFill="1" applyBorder="1" applyAlignment="1" applyProtection="1">
      <alignment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48" xfId="0" applyNumberFormat="1" applyFont="1" applyFill="1" applyBorder="1" applyAlignment="1" applyProtection="1">
      <alignment vertical="center"/>
      <protection/>
    </xf>
    <xf numFmtId="0" fontId="15" fillId="0" borderId="17" xfId="0" applyNumberFormat="1" applyFont="1" applyFill="1" applyBorder="1" applyAlignment="1" applyProtection="1">
      <alignment horizontal="left" vertical="center" indent="1"/>
      <protection/>
    </xf>
    <xf numFmtId="0" fontId="15" fillId="0" borderId="17" xfId="0" applyNumberFormat="1" applyFont="1" applyFill="1" applyBorder="1" applyAlignment="1" applyProtection="1">
      <alignment horizontal="left" vertical="center" indent="2"/>
      <protection/>
    </xf>
    <xf numFmtId="213" fontId="15" fillId="39" borderId="59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212" fontId="15" fillId="0" borderId="0" xfId="0" applyNumberFormat="1" applyFont="1" applyFill="1" applyBorder="1" applyAlignment="1" applyProtection="1">
      <alignment vertical="center"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0" fontId="15" fillId="0" borderId="30" xfId="0" applyNumberFormat="1" applyFont="1" applyFill="1" applyBorder="1" applyAlignment="1" applyProtection="1">
      <alignment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vertical="center"/>
      <protection/>
    </xf>
    <xf numFmtId="0" fontId="15" fillId="0" borderId="32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5" fillId="0" borderId="33" xfId="0" applyNumberFormat="1" applyFont="1" applyFill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Border="1" applyAlignment="1">
      <alignment/>
    </xf>
    <xf numFmtId="37" fontId="0" fillId="0" borderId="11" xfId="0" applyFont="1" applyBorder="1" applyAlignment="1">
      <alignment/>
    </xf>
    <xf numFmtId="202" fontId="0" fillId="0" borderId="13" xfId="0" applyNumberFormat="1" applyFont="1" applyBorder="1" applyAlignment="1">
      <alignment/>
    </xf>
    <xf numFmtId="37" fontId="1" fillId="0" borderId="0" xfId="0" applyFont="1" applyBorder="1" applyAlignment="1">
      <alignment/>
    </xf>
    <xf numFmtId="1" fontId="17" fillId="0" borderId="0" xfId="0" applyNumberFormat="1" applyFont="1" applyFill="1" applyBorder="1" applyAlignment="1">
      <alignment/>
    </xf>
    <xf numFmtId="37" fontId="18" fillId="0" borderId="0" xfId="0" applyFont="1" applyFill="1" applyBorder="1" applyAlignment="1">
      <alignment/>
    </xf>
    <xf numFmtId="202" fontId="5" fillId="0" borderId="0" xfId="47" applyNumberFormat="1" applyFont="1" applyFill="1" applyBorder="1" applyAlignment="1">
      <alignment/>
    </xf>
    <xf numFmtId="37" fontId="0" fillId="0" borderId="0" xfId="0" applyFont="1" applyFill="1" applyBorder="1" applyAlignment="1">
      <alignment/>
    </xf>
    <xf numFmtId="202" fontId="0" fillId="0" borderId="0" xfId="47" applyNumberFormat="1" applyFont="1" applyFill="1" applyBorder="1" applyAlignment="1">
      <alignment/>
    </xf>
    <xf numFmtId="0" fontId="10" fillId="0" borderId="59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37" fontId="0" fillId="0" borderId="11" xfId="0" applyFont="1" applyBorder="1" applyAlignment="1">
      <alignment horizontal="left" indent="1"/>
    </xf>
    <xf numFmtId="37" fontId="6" fillId="0" borderId="0" xfId="0" applyFont="1" applyAlignment="1">
      <alignment horizontal="right"/>
    </xf>
    <xf numFmtId="1" fontId="4" fillId="40" borderId="12" xfId="0" applyNumberFormat="1" applyFont="1" applyFill="1" applyBorder="1" applyAlignment="1">
      <alignment/>
    </xf>
    <xf numFmtId="37" fontId="4" fillId="40" borderId="12" xfId="0" applyFont="1" applyFill="1" applyBorder="1" applyAlignment="1">
      <alignment/>
    </xf>
    <xf numFmtId="202" fontId="6" fillId="40" borderId="14" xfId="0" applyNumberFormat="1" applyFont="1" applyFill="1" applyBorder="1" applyAlignment="1">
      <alignment/>
    </xf>
    <xf numFmtId="1" fontId="4" fillId="40" borderId="17" xfId="0" applyNumberFormat="1" applyFont="1" applyFill="1" applyBorder="1" applyAlignment="1">
      <alignment/>
    </xf>
    <xf numFmtId="37" fontId="4" fillId="40" borderId="17" xfId="0" applyFont="1" applyFill="1" applyBorder="1" applyAlignment="1">
      <alignment/>
    </xf>
    <xf numFmtId="202" fontId="6" fillId="40" borderId="40" xfId="0" applyNumberFormat="1" applyFont="1" applyFill="1" applyBorder="1" applyAlignment="1">
      <alignment/>
    </xf>
    <xf numFmtId="37" fontId="4" fillId="41" borderId="12" xfId="0" applyFont="1" applyFill="1" applyBorder="1" applyAlignment="1">
      <alignment/>
    </xf>
    <xf numFmtId="1" fontId="4" fillId="41" borderId="12" xfId="0" applyNumberFormat="1" applyFont="1" applyFill="1" applyBorder="1" applyAlignment="1">
      <alignment/>
    </xf>
    <xf numFmtId="202" fontId="6" fillId="41" borderId="14" xfId="0" applyNumberFormat="1" applyFont="1" applyFill="1" applyBorder="1" applyAlignment="1">
      <alignment/>
    </xf>
    <xf numFmtId="1" fontId="4" fillId="41" borderId="17" xfId="0" applyNumberFormat="1" applyFont="1" applyFill="1" applyBorder="1" applyAlignment="1">
      <alignment/>
    </xf>
    <xf numFmtId="37" fontId="4" fillId="41" borderId="17" xfId="0" applyFont="1" applyFill="1" applyBorder="1" applyAlignment="1">
      <alignment/>
    </xf>
    <xf numFmtId="202" fontId="6" fillId="41" borderId="40" xfId="0" applyNumberFormat="1" applyFont="1" applyFill="1" applyBorder="1" applyAlignment="1">
      <alignment/>
    </xf>
    <xf numFmtId="1" fontId="8" fillId="40" borderId="45" xfId="0" applyNumberFormat="1" applyFont="1" applyFill="1" applyBorder="1" applyAlignment="1">
      <alignment/>
    </xf>
    <xf numFmtId="37" fontId="8" fillId="40" borderId="45" xfId="0" applyFont="1" applyFill="1" applyBorder="1" applyAlignment="1">
      <alignment/>
    </xf>
    <xf numFmtId="202" fontId="6" fillId="40" borderId="39" xfId="47" applyNumberFormat="1" applyFont="1" applyFill="1" applyBorder="1" applyAlignment="1">
      <alignment/>
    </xf>
    <xf numFmtId="1" fontId="8" fillId="35" borderId="45" xfId="0" applyNumberFormat="1" applyFont="1" applyFill="1" applyBorder="1" applyAlignment="1">
      <alignment/>
    </xf>
    <xf numFmtId="37" fontId="8" fillId="35" borderId="45" xfId="0" applyFont="1" applyFill="1" applyBorder="1" applyAlignment="1">
      <alignment/>
    </xf>
    <xf numFmtId="202" fontId="4" fillId="40" borderId="39" xfId="47" applyNumberFormat="1" applyFont="1" applyFill="1" applyBorder="1" applyAlignment="1">
      <alignment/>
    </xf>
    <xf numFmtId="202" fontId="4" fillId="35" borderId="39" xfId="47" applyNumberFormat="1" applyFont="1" applyFill="1" applyBorder="1" applyAlignment="1">
      <alignment/>
    </xf>
    <xf numFmtId="37" fontId="1" fillId="42" borderId="60" xfId="0" applyFont="1" applyFill="1" applyBorder="1" applyAlignment="1">
      <alignment horizontal="centerContinuous"/>
    </xf>
    <xf numFmtId="37" fontId="1" fillId="42" borderId="47" xfId="0" applyFont="1" applyFill="1" applyBorder="1" applyAlignment="1">
      <alignment horizontal="centerContinuous"/>
    </xf>
    <xf numFmtId="37" fontId="1" fillId="42" borderId="61" xfId="0" applyFont="1" applyFill="1" applyBorder="1" applyAlignment="1">
      <alignment horizontal="centerContinuous"/>
    </xf>
    <xf numFmtId="37" fontId="1" fillId="42" borderId="48" xfId="0" applyFont="1" applyFill="1" applyBorder="1" applyAlignment="1">
      <alignment/>
    </xf>
    <xf numFmtId="37" fontId="1" fillId="42" borderId="40" xfId="0" applyFont="1" applyFill="1" applyBorder="1" applyAlignment="1">
      <alignment/>
    </xf>
    <xf numFmtId="37" fontId="0" fillId="42" borderId="40" xfId="0" applyFill="1" applyBorder="1" applyAlignment="1">
      <alignment/>
    </xf>
    <xf numFmtId="37" fontId="0" fillId="42" borderId="62" xfId="0" applyFill="1" applyBorder="1" applyAlignment="1">
      <alignment/>
    </xf>
    <xf numFmtId="37" fontId="1" fillId="42" borderId="48" xfId="0" applyFont="1" applyFill="1" applyBorder="1" applyAlignment="1">
      <alignment horizontal="centerContinuous"/>
    </xf>
    <xf numFmtId="37" fontId="1" fillId="42" borderId="40" xfId="0" applyFont="1" applyFill="1" applyBorder="1" applyAlignment="1">
      <alignment horizontal="centerContinuous"/>
    </xf>
    <xf numFmtId="37" fontId="0" fillId="42" borderId="40" xfId="0" applyFill="1" applyBorder="1" applyAlignment="1">
      <alignment horizontal="centerContinuous"/>
    </xf>
    <xf numFmtId="37" fontId="0" fillId="42" borderId="62" xfId="0" applyFill="1" applyBorder="1" applyAlignment="1">
      <alignment horizontal="centerContinuous"/>
    </xf>
    <xf numFmtId="37" fontId="1" fillId="42" borderId="38" xfId="0" applyFont="1" applyFill="1" applyBorder="1" applyAlignment="1">
      <alignment/>
    </xf>
    <xf numFmtId="37" fontId="0" fillId="42" borderId="39" xfId="0" applyFill="1" applyBorder="1" applyAlignment="1">
      <alignment/>
    </xf>
    <xf numFmtId="37" fontId="0" fillId="40" borderId="36" xfId="0" applyFont="1" applyFill="1" applyBorder="1" applyAlignment="1">
      <alignment horizontal="center"/>
    </xf>
    <xf numFmtId="37" fontId="0" fillId="40" borderId="37" xfId="0" applyFont="1" applyFill="1" applyBorder="1" applyAlignment="1">
      <alignment horizontal="center"/>
    </xf>
    <xf numFmtId="37" fontId="0" fillId="40" borderId="37" xfId="0" applyFont="1" applyFill="1" applyBorder="1" applyAlignment="1">
      <alignment horizontal="centerContinuous"/>
    </xf>
    <xf numFmtId="37" fontId="0" fillId="40" borderId="63" xfId="0" applyFont="1" applyFill="1" applyBorder="1" applyAlignment="1">
      <alignment horizontal="centerContinuous"/>
    </xf>
    <xf numFmtId="37" fontId="0" fillId="40" borderId="64" xfId="0" applyFont="1" applyFill="1" applyBorder="1" applyAlignment="1">
      <alignment horizontal="centerContinuous"/>
    </xf>
    <xf numFmtId="37" fontId="0" fillId="40" borderId="35" xfId="0" applyFont="1" applyFill="1" applyBorder="1" applyAlignment="1">
      <alignment horizontal="center"/>
    </xf>
    <xf numFmtId="37" fontId="0" fillId="40" borderId="13" xfId="0" applyFont="1" applyFill="1" applyBorder="1" applyAlignment="1">
      <alignment horizontal="center"/>
    </xf>
    <xf numFmtId="37" fontId="0" fillId="40" borderId="14" xfId="0" applyFont="1" applyFill="1" applyBorder="1" applyAlignment="1">
      <alignment horizontal="centerContinuous"/>
    </xf>
    <xf numFmtId="37" fontId="0" fillId="40" borderId="32" xfId="0" applyFont="1" applyFill="1" applyBorder="1" applyAlignment="1">
      <alignment horizontal="center"/>
    </xf>
    <xf numFmtId="37" fontId="0" fillId="40" borderId="38" xfId="0" applyFont="1" applyFill="1" applyBorder="1" applyAlignment="1">
      <alignment horizontal="center"/>
    </xf>
    <xf numFmtId="37" fontId="0" fillId="40" borderId="39" xfId="0" applyFont="1" applyFill="1" applyBorder="1" applyAlignment="1">
      <alignment horizontal="center"/>
    </xf>
    <xf numFmtId="37" fontId="0" fillId="40" borderId="28" xfId="0" applyFont="1" applyFill="1" applyBorder="1" applyAlignment="1">
      <alignment horizontal="center"/>
    </xf>
    <xf numFmtId="37" fontId="0" fillId="0" borderId="11" xfId="0" applyFont="1" applyBorder="1" applyAlignment="1">
      <alignment/>
    </xf>
    <xf numFmtId="202" fontId="0" fillId="0" borderId="0" xfId="47" applyNumberFormat="1" applyFont="1" applyAlignment="1">
      <alignment/>
    </xf>
    <xf numFmtId="0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65" xfId="0" applyNumberFormat="1" applyFont="1" applyBorder="1" applyAlignment="1">
      <alignment horizontal="center" vertical="center" wrapText="1"/>
    </xf>
    <xf numFmtId="3" fontId="21" fillId="0" borderId="66" xfId="0" applyNumberFormat="1" applyFont="1" applyBorder="1" applyAlignment="1">
      <alignment horizontal="center"/>
    </xf>
    <xf numFmtId="0" fontId="21" fillId="0" borderId="45" xfId="0" applyNumberFormat="1" applyFont="1" applyFill="1" applyBorder="1" applyAlignment="1">
      <alignment horizontal="center"/>
    </xf>
    <xf numFmtId="0" fontId="21" fillId="0" borderId="45" xfId="0" applyNumberFormat="1" applyFont="1" applyBorder="1" applyAlignment="1">
      <alignment horizontal="center"/>
    </xf>
    <xf numFmtId="0" fontId="21" fillId="0" borderId="67" xfId="0" applyNumberFormat="1" applyFont="1" applyBorder="1" applyAlignment="1">
      <alignment horizontal="center"/>
    </xf>
    <xf numFmtId="3" fontId="21" fillId="0" borderId="68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69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0" fontId="22" fillId="0" borderId="69" xfId="0" applyNumberFormat="1" applyFont="1" applyBorder="1" applyAlignment="1">
      <alignment horizontal="center"/>
    </xf>
    <xf numFmtId="0" fontId="21" fillId="0" borderId="66" xfId="0" applyNumberFormat="1" applyFont="1" applyBorder="1" applyAlignment="1">
      <alignment horizontal="center"/>
    </xf>
    <xf numFmtId="0" fontId="21" fillId="0" borderId="65" xfId="0" applyNumberFormat="1" applyFont="1" applyBorder="1" applyAlignment="1">
      <alignment horizontal="center"/>
    </xf>
    <xf numFmtId="0" fontId="21" fillId="0" borderId="70" xfId="0" applyNumberFormat="1" applyFont="1" applyFill="1" applyBorder="1" applyAlignment="1">
      <alignment horizontal="center"/>
    </xf>
    <xf numFmtId="3" fontId="21" fillId="0" borderId="71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69" xfId="0" applyNumberFormat="1" applyFont="1" applyBorder="1" applyAlignment="1">
      <alignment horizontal="center"/>
    </xf>
    <xf numFmtId="3" fontId="21" fillId="0" borderId="72" xfId="0" applyNumberFormat="1" applyFont="1" applyBorder="1" applyAlignment="1">
      <alignment horizontal="center"/>
    </xf>
    <xf numFmtId="3" fontId="21" fillId="0" borderId="69" xfId="0" applyNumberFormat="1" applyFont="1" applyFill="1" applyBorder="1" applyAlignment="1">
      <alignment horizontal="center"/>
    </xf>
    <xf numFmtId="0" fontId="21" fillId="0" borderId="69" xfId="0" applyNumberFormat="1" applyFont="1" applyBorder="1" applyAlignment="1">
      <alignment horizontal="center"/>
    </xf>
    <xf numFmtId="3" fontId="21" fillId="0" borderId="69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0" fontId="20" fillId="0" borderId="31" xfId="0" applyNumberFormat="1" applyFont="1" applyFill="1" applyBorder="1" applyAlignment="1">
      <alignment/>
    </xf>
    <xf numFmtId="0" fontId="20" fillId="0" borderId="71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>
      <alignment horizontal="center"/>
    </xf>
    <xf numFmtId="3" fontId="20" fillId="0" borderId="73" xfId="0" applyNumberFormat="1" applyFont="1" applyFill="1" applyBorder="1" applyAlignment="1">
      <alignment/>
    </xf>
    <xf numFmtId="3" fontId="20" fillId="0" borderId="71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3" fontId="20" fillId="0" borderId="65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0" fillId="34" borderId="31" xfId="0" applyNumberFormat="1" applyFont="1" applyFill="1" applyBorder="1" applyAlignment="1">
      <alignment/>
    </xf>
    <xf numFmtId="0" fontId="20" fillId="34" borderId="71" xfId="0" applyNumberFormat="1" applyFont="1" applyFill="1" applyBorder="1" applyAlignment="1" quotePrefix="1">
      <alignment horizontal="center"/>
    </xf>
    <xf numFmtId="0" fontId="20" fillId="34" borderId="31" xfId="0" applyNumberFormat="1" applyFont="1" applyFill="1" applyBorder="1" applyAlignment="1">
      <alignment horizontal="center"/>
    </xf>
    <xf numFmtId="3" fontId="20" fillId="34" borderId="71" xfId="0" applyNumberFormat="1" applyFont="1" applyFill="1" applyBorder="1" applyAlignment="1">
      <alignment/>
    </xf>
    <xf numFmtId="3" fontId="20" fillId="34" borderId="32" xfId="0" applyNumberFormat="1" applyFont="1" applyFill="1" applyBorder="1" applyAlignment="1">
      <alignment/>
    </xf>
    <xf numFmtId="3" fontId="20" fillId="34" borderId="45" xfId="0" applyNumberFormat="1" applyFont="1" applyFill="1" applyBorder="1" applyAlignment="1">
      <alignment/>
    </xf>
    <xf numFmtId="0" fontId="21" fillId="0" borderId="66" xfId="0" applyNumberFormat="1" applyFont="1" applyFill="1" applyBorder="1" applyAlignment="1">
      <alignment horizontal="center"/>
    </xf>
    <xf numFmtId="0" fontId="21" fillId="0" borderId="69" xfId="0" applyNumberFormat="1" applyFont="1" applyFill="1" applyBorder="1" applyAlignment="1" quotePrefix="1">
      <alignment horizontal="center"/>
    </xf>
    <xf numFmtId="0" fontId="21" fillId="0" borderId="69" xfId="0" applyNumberFormat="1" applyFont="1" applyFill="1" applyBorder="1" applyAlignment="1">
      <alignment horizontal="center"/>
    </xf>
    <xf numFmtId="3" fontId="21" fillId="34" borderId="69" xfId="0" applyNumberFormat="1" applyFont="1" applyFill="1" applyBorder="1" applyAlignment="1">
      <alignment/>
    </xf>
    <xf numFmtId="3" fontId="21" fillId="0" borderId="72" xfId="0" applyNumberFormat="1" applyFont="1" applyFill="1" applyBorder="1" applyAlignment="1">
      <alignment/>
    </xf>
    <xf numFmtId="3" fontId="21" fillId="0" borderId="74" xfId="0" applyNumberFormat="1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20" fillId="34" borderId="37" xfId="0" applyNumberFormat="1" applyFont="1" applyFill="1" applyBorder="1" applyAlignment="1">
      <alignment/>
    </xf>
    <xf numFmtId="3" fontId="20" fillId="0" borderId="39" xfId="0" applyNumberFormat="1" applyFont="1" applyFill="1" applyBorder="1" applyAlignment="1">
      <alignment/>
    </xf>
    <xf numFmtId="0" fontId="21" fillId="0" borderId="69" xfId="0" applyNumberFormat="1" applyFont="1" applyFill="1" applyBorder="1" applyAlignment="1">
      <alignment/>
    </xf>
    <xf numFmtId="0" fontId="21" fillId="0" borderId="61" xfId="0" applyNumberFormat="1" applyFont="1" applyFill="1" applyBorder="1" applyAlignment="1">
      <alignment/>
    </xf>
    <xf numFmtId="0" fontId="20" fillId="0" borderId="71" xfId="0" applyNumberFormat="1" applyFont="1" applyFill="1" applyBorder="1" applyAlignment="1">
      <alignment horizontal="center"/>
    </xf>
    <xf numFmtId="3" fontId="20" fillId="34" borderId="13" xfId="0" applyNumberFormat="1" applyFont="1" applyFill="1" applyBorder="1" applyAlignment="1">
      <alignment/>
    </xf>
    <xf numFmtId="0" fontId="20" fillId="34" borderId="71" xfId="0" applyNumberFormat="1" applyFont="1" applyFill="1" applyBorder="1" applyAlignment="1">
      <alignment horizontal="center"/>
    </xf>
    <xf numFmtId="0" fontId="20" fillId="0" borderId="66" xfId="0" applyNumberFormat="1" applyFont="1" applyFill="1" applyBorder="1" applyAlignment="1">
      <alignment/>
    </xf>
    <xf numFmtId="0" fontId="20" fillId="0" borderId="69" xfId="0" applyNumberFormat="1" applyFont="1" applyFill="1" applyBorder="1" applyAlignment="1">
      <alignment horizontal="center"/>
    </xf>
    <xf numFmtId="3" fontId="20" fillId="0" borderId="47" xfId="0" applyNumberFormat="1" applyFont="1" applyFill="1" applyBorder="1" applyAlignment="1">
      <alignment/>
    </xf>
    <xf numFmtId="3" fontId="20" fillId="0" borderId="69" xfId="0" applyNumberFormat="1" applyFont="1" applyFill="1" applyBorder="1" applyAlignment="1">
      <alignment/>
    </xf>
    <xf numFmtId="3" fontId="20" fillId="0" borderId="61" xfId="0" applyNumberFormat="1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1" fillId="0" borderId="66" xfId="0" applyNumberFormat="1" applyFont="1" applyFill="1" applyBorder="1" applyAlignment="1">
      <alignment/>
    </xf>
    <xf numFmtId="0" fontId="20" fillId="0" borderId="69" xfId="0" applyNumberFormat="1" applyFont="1" applyFill="1" applyBorder="1" applyAlignment="1" quotePrefix="1">
      <alignment horizontal="center"/>
    </xf>
    <xf numFmtId="3" fontId="21" fillId="0" borderId="46" xfId="0" applyNumberFormat="1" applyFont="1" applyFill="1" applyBorder="1" applyAlignment="1">
      <alignment horizontal="center"/>
    </xf>
    <xf numFmtId="3" fontId="21" fillId="0" borderId="61" xfId="0" applyNumberFormat="1" applyFont="1" applyFill="1" applyBorder="1" applyAlignment="1">
      <alignment horizontal="center"/>
    </xf>
    <xf numFmtId="37" fontId="23" fillId="0" borderId="0" xfId="0" applyFont="1" applyAlignment="1">
      <alignment horizontal="centerContinuous"/>
    </xf>
    <xf numFmtId="0" fontId="24" fillId="0" borderId="0" xfId="53" applyFont="1" applyBorder="1">
      <alignment/>
      <protection/>
    </xf>
    <xf numFmtId="37" fontId="24" fillId="0" borderId="0" xfId="0" applyFont="1" applyBorder="1" applyAlignment="1">
      <alignment/>
    </xf>
    <xf numFmtId="37" fontId="24" fillId="0" borderId="0" xfId="0" applyFont="1" applyAlignment="1">
      <alignment/>
    </xf>
    <xf numFmtId="0" fontId="24" fillId="0" borderId="0" xfId="53" applyFont="1">
      <alignment/>
      <protection/>
    </xf>
    <xf numFmtId="37" fontId="23" fillId="0" borderId="0" xfId="53" applyNumberFormat="1" applyFont="1">
      <alignment/>
      <protection/>
    </xf>
    <xf numFmtId="0" fontId="24" fillId="34" borderId="0" xfId="53" applyFont="1" applyFill="1" applyBorder="1">
      <alignment/>
      <protection/>
    </xf>
    <xf numFmtId="37" fontId="24" fillId="0" borderId="0" xfId="53" applyNumberFormat="1" applyFont="1" applyFill="1" applyBorder="1" applyAlignment="1" applyProtection="1">
      <alignment horizontal="left"/>
      <protection/>
    </xf>
    <xf numFmtId="0" fontId="24" fillId="0" borderId="0" xfId="53" applyFont="1" applyFill="1" applyBorder="1">
      <alignment/>
      <protection/>
    </xf>
    <xf numFmtId="37" fontId="24" fillId="0" borderId="0" xfId="53" applyNumberFormat="1" applyFont="1" applyFill="1" applyBorder="1" applyProtection="1">
      <alignment/>
      <protection/>
    </xf>
    <xf numFmtId="39" fontId="24" fillId="0" borderId="0" xfId="53" applyNumberFormat="1" applyFont="1" applyFill="1" applyBorder="1" applyProtection="1">
      <alignment/>
      <protection/>
    </xf>
    <xf numFmtId="37" fontId="24" fillId="0" borderId="0" xfId="53" applyNumberFormat="1" applyFont="1" applyBorder="1" applyAlignment="1" applyProtection="1">
      <alignment horizontal="left"/>
      <protection/>
    </xf>
    <xf numFmtId="0" fontId="23" fillId="43" borderId="0" xfId="53" applyFont="1" applyFill="1" applyBorder="1" applyAlignment="1">
      <alignment horizontal="center"/>
      <protection/>
    </xf>
    <xf numFmtId="39" fontId="23" fillId="43" borderId="0" xfId="53" applyNumberFormat="1" applyFont="1" applyFill="1" applyBorder="1" applyAlignment="1" applyProtection="1">
      <alignment horizontal="center"/>
      <protection/>
    </xf>
    <xf numFmtId="208" fontId="24" fillId="43" borderId="0" xfId="53" applyNumberFormat="1" applyFont="1" applyFill="1" applyBorder="1" applyProtection="1">
      <alignment/>
      <protection/>
    </xf>
    <xf numFmtId="0" fontId="24" fillId="43" borderId="0" xfId="53" applyFont="1" applyFill="1" applyBorder="1">
      <alignment/>
      <protection/>
    </xf>
    <xf numFmtId="37" fontId="24" fillId="43" borderId="0" xfId="53" applyNumberFormat="1" applyFont="1" applyFill="1" applyBorder="1" applyProtection="1">
      <alignment/>
      <protection/>
    </xf>
    <xf numFmtId="37" fontId="24" fillId="43" borderId="0" xfId="0" applyFont="1" applyFill="1" applyBorder="1" applyAlignment="1">
      <alignment/>
    </xf>
    <xf numFmtId="37" fontId="24" fillId="43" borderId="0" xfId="53" applyNumberFormat="1" applyFont="1" applyFill="1" applyBorder="1">
      <alignment/>
      <protection/>
    </xf>
    <xf numFmtId="0" fontId="24" fillId="43" borderId="0" xfId="53" applyFont="1" applyFill="1">
      <alignment/>
      <protection/>
    </xf>
    <xf numFmtId="0" fontId="23" fillId="0" borderId="0" xfId="53" applyFont="1" applyBorder="1">
      <alignment/>
      <protection/>
    </xf>
    <xf numFmtId="37" fontId="23" fillId="43" borderId="0" xfId="53" applyNumberFormat="1" applyFont="1" applyFill="1" applyBorder="1" applyAlignment="1" applyProtection="1">
      <alignment horizontal="center"/>
      <protection/>
    </xf>
    <xf numFmtId="0" fontId="23" fillId="43" borderId="0" xfId="53" applyFont="1" applyFill="1" applyBorder="1" applyAlignment="1">
      <alignment horizontal="centerContinuous"/>
      <protection/>
    </xf>
    <xf numFmtId="37" fontId="23" fillId="43" borderId="0" xfId="53" applyNumberFormat="1" applyFont="1" applyFill="1" applyBorder="1" applyAlignment="1" applyProtection="1">
      <alignment horizontal="left"/>
      <protection/>
    </xf>
    <xf numFmtId="0" fontId="23" fillId="43" borderId="0" xfId="53" applyFont="1" applyFill="1" applyBorder="1">
      <alignment/>
      <protection/>
    </xf>
    <xf numFmtId="39" fontId="24" fillId="43" borderId="0" xfId="53" applyNumberFormat="1" applyFont="1" applyFill="1" applyBorder="1" applyProtection="1">
      <alignment/>
      <protection/>
    </xf>
    <xf numFmtId="37" fontId="24" fillId="43" borderId="0" xfId="0" applyNumberFormat="1" applyFont="1" applyFill="1" applyBorder="1" applyAlignment="1" applyProtection="1">
      <alignment horizontal="left"/>
      <protection/>
    </xf>
    <xf numFmtId="208" fontId="24" fillId="43" borderId="0" xfId="0" applyNumberFormat="1" applyFont="1" applyFill="1" applyBorder="1" applyAlignment="1" applyProtection="1">
      <alignment/>
      <protection/>
    </xf>
    <xf numFmtId="0" fontId="25" fillId="0" borderId="61" xfId="0" applyNumberFormat="1" applyFont="1" applyBorder="1" applyAlignment="1">
      <alignment horizontal="center"/>
    </xf>
    <xf numFmtId="3" fontId="20" fillId="0" borderId="27" xfId="0" applyNumberFormat="1" applyFont="1" applyFill="1" applyBorder="1" applyAlignment="1">
      <alignment/>
    </xf>
    <xf numFmtId="3" fontId="20" fillId="0" borderId="28" xfId="0" applyNumberFormat="1" applyFont="1" applyFill="1" applyBorder="1" applyAlignment="1">
      <alignment/>
    </xf>
    <xf numFmtId="3" fontId="25" fillId="0" borderId="6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1" fillId="0" borderId="27" xfId="0" applyNumberFormat="1" applyFont="1" applyBorder="1" applyAlignment="1">
      <alignment horizontal="center" vertical="center" wrapText="1"/>
    </xf>
    <xf numFmtId="3" fontId="21" fillId="0" borderId="65" xfId="0" applyNumberFormat="1" applyFont="1" applyBorder="1" applyAlignment="1">
      <alignment horizontal="center" vertical="center" wrapText="1"/>
    </xf>
    <xf numFmtId="9" fontId="21" fillId="0" borderId="65" xfId="55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/>
    </xf>
    <xf numFmtId="3" fontId="21" fillId="0" borderId="74" xfId="0" applyNumberFormat="1" applyFont="1" applyBorder="1" applyAlignment="1" quotePrefix="1">
      <alignment horizontal="center"/>
    </xf>
    <xf numFmtId="3" fontId="21" fillId="0" borderId="69" xfId="0" applyNumberFormat="1" applyFont="1" applyBorder="1" applyAlignment="1" quotePrefix="1">
      <alignment horizontal="center"/>
    </xf>
    <xf numFmtId="3" fontId="21" fillId="0" borderId="47" xfId="0" applyNumberFormat="1" applyFont="1" applyBorder="1" applyAlignment="1">
      <alignment/>
    </xf>
    <xf numFmtId="3" fontId="21" fillId="0" borderId="74" xfId="0" applyNumberFormat="1" applyFont="1" applyBorder="1" applyAlignment="1">
      <alignment/>
    </xf>
    <xf numFmtId="0" fontId="19" fillId="0" borderId="61" xfId="0" applyNumberFormat="1" applyFont="1" applyBorder="1" applyAlignment="1">
      <alignment/>
    </xf>
    <xf numFmtId="3" fontId="21" fillId="0" borderId="71" xfId="0" applyNumberFormat="1" applyFont="1" applyFill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75" xfId="0" applyNumberFormat="1" applyFont="1" applyBorder="1" applyAlignment="1">
      <alignment/>
    </xf>
    <xf numFmtId="3" fontId="21" fillId="0" borderId="65" xfId="0" applyNumberFormat="1" applyFont="1" applyBorder="1" applyAlignment="1">
      <alignment/>
    </xf>
    <xf numFmtId="3" fontId="20" fillId="0" borderId="75" xfId="0" applyNumberFormat="1" applyFont="1" applyFill="1" applyBorder="1" applyAlignment="1">
      <alignment/>
    </xf>
    <xf numFmtId="3" fontId="21" fillId="0" borderId="75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3" fontId="20" fillId="34" borderId="31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/>
    </xf>
    <xf numFmtId="3" fontId="21" fillId="0" borderId="72" xfId="0" applyNumberFormat="1" applyFont="1" applyFill="1" applyBorder="1" applyAlignment="1">
      <alignment horizontal="center"/>
    </xf>
    <xf numFmtId="3" fontId="21" fillId="0" borderId="74" xfId="0" applyNumberFormat="1" applyFont="1" applyFill="1" applyBorder="1" applyAlignment="1">
      <alignment horizontal="center"/>
    </xf>
    <xf numFmtId="0" fontId="1" fillId="0" borderId="0" xfId="53" applyFont="1" applyBorder="1">
      <alignment/>
      <protection/>
    </xf>
    <xf numFmtId="3" fontId="21" fillId="34" borderId="61" xfId="0" applyNumberFormat="1" applyFont="1" applyFill="1" applyBorder="1" applyAlignment="1">
      <alignment/>
    </xf>
    <xf numFmtId="3" fontId="20" fillId="0" borderId="39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 horizontal="center"/>
    </xf>
    <xf numFmtId="0" fontId="20" fillId="0" borderId="36" xfId="0" applyNumberFormat="1" applyFont="1" applyFill="1" applyBorder="1" applyAlignment="1">
      <alignment horizontal="center"/>
    </xf>
    <xf numFmtId="0" fontId="20" fillId="0" borderId="35" xfId="0" applyNumberFormat="1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0" fillId="34" borderId="35" xfId="0" applyNumberFormat="1" applyFont="1" applyFill="1" applyBorder="1" applyAlignment="1">
      <alignment horizontal="center"/>
    </xf>
    <xf numFmtId="0" fontId="20" fillId="0" borderId="60" xfId="0" applyNumberFormat="1" applyFont="1" applyFill="1" applyBorder="1" applyAlignment="1">
      <alignment horizontal="center"/>
    </xf>
    <xf numFmtId="0" fontId="21" fillId="0" borderId="32" xfId="0" applyNumberFormat="1" applyFont="1" applyBorder="1" applyAlignment="1">
      <alignment horizontal="center"/>
    </xf>
    <xf numFmtId="3" fontId="21" fillId="0" borderId="61" xfId="0" applyNumberFormat="1" applyFont="1" applyBorder="1" applyAlignment="1">
      <alignment horizontal="center"/>
    </xf>
    <xf numFmtId="0" fontId="21" fillId="0" borderId="73" xfId="0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>
      <alignment/>
    </xf>
    <xf numFmtId="3" fontId="20" fillId="34" borderId="13" xfId="0" applyNumberFormat="1" applyFont="1" applyFill="1" applyBorder="1" applyAlignment="1">
      <alignment/>
    </xf>
    <xf numFmtId="3" fontId="20" fillId="0" borderId="47" xfId="0" applyNumberFormat="1" applyFont="1" applyFill="1" applyBorder="1" applyAlignment="1">
      <alignment/>
    </xf>
    <xf numFmtId="0" fontId="20" fillId="43" borderId="31" xfId="0" applyNumberFormat="1" applyFont="1" applyFill="1" applyBorder="1" applyAlignment="1">
      <alignment/>
    </xf>
    <xf numFmtId="0" fontId="20" fillId="43" borderId="71" xfId="0" applyNumberFormat="1" applyFont="1" applyFill="1" applyBorder="1" applyAlignment="1" quotePrefix="1">
      <alignment horizontal="center"/>
    </xf>
    <xf numFmtId="0" fontId="20" fillId="43" borderId="31" xfId="0" applyNumberFormat="1" applyFont="1" applyFill="1" applyBorder="1" applyAlignment="1">
      <alignment horizontal="center"/>
    </xf>
    <xf numFmtId="3" fontId="20" fillId="43" borderId="11" xfId="0" applyNumberFormat="1" applyFont="1" applyFill="1" applyBorder="1" applyAlignment="1">
      <alignment/>
    </xf>
    <xf numFmtId="3" fontId="20" fillId="43" borderId="13" xfId="0" applyNumberFormat="1" applyFont="1" applyFill="1" applyBorder="1" applyAlignment="1">
      <alignment/>
    </xf>
    <xf numFmtId="3" fontId="20" fillId="43" borderId="32" xfId="0" applyNumberFormat="1" applyFont="1" applyFill="1" applyBorder="1" applyAlignment="1">
      <alignment/>
    </xf>
    <xf numFmtId="3" fontId="20" fillId="43" borderId="71" xfId="0" applyNumberFormat="1" applyFont="1" applyFill="1" applyBorder="1" applyAlignment="1">
      <alignment/>
    </xf>
    <xf numFmtId="37" fontId="24" fillId="43" borderId="0" xfId="53" applyNumberFormat="1" applyFont="1" applyFill="1" applyBorder="1" applyAlignment="1" applyProtection="1">
      <alignment horizontal="left"/>
      <protection/>
    </xf>
    <xf numFmtId="37" fontId="24" fillId="43" borderId="0" xfId="0" applyFont="1" applyFill="1" applyAlignment="1">
      <alignment/>
    </xf>
    <xf numFmtId="0" fontId="20" fillId="43" borderId="35" xfId="0" applyNumberFormat="1" applyFont="1" applyFill="1" applyBorder="1" applyAlignment="1">
      <alignment horizontal="center"/>
    </xf>
    <xf numFmtId="3" fontId="20" fillId="43" borderId="13" xfId="0" applyNumberFormat="1" applyFont="1" applyFill="1" applyBorder="1" applyAlignment="1">
      <alignment/>
    </xf>
    <xf numFmtId="3" fontId="21" fillId="43" borderId="61" xfId="0" applyNumberFormat="1" applyFont="1" applyFill="1" applyBorder="1" applyAlignment="1">
      <alignment horizontal="center"/>
    </xf>
    <xf numFmtId="37" fontId="1" fillId="42" borderId="40" xfId="0" applyFont="1" applyFill="1" applyBorder="1" applyAlignment="1">
      <alignment/>
    </xf>
    <xf numFmtId="37" fontId="1" fillId="42" borderId="62" xfId="0" applyFont="1" applyFill="1" applyBorder="1" applyAlignment="1">
      <alignment/>
    </xf>
    <xf numFmtId="37" fontId="1" fillId="42" borderId="28" xfId="0" applyFont="1" applyFill="1" applyBorder="1" applyAlignment="1">
      <alignment/>
    </xf>
    <xf numFmtId="37" fontId="6" fillId="44" borderId="76" xfId="0" applyFont="1" applyFill="1" applyBorder="1" applyAlignment="1">
      <alignment/>
    </xf>
    <xf numFmtId="37" fontId="0" fillId="44" borderId="46" xfId="0" applyFill="1" applyBorder="1" applyAlignment="1">
      <alignment/>
    </xf>
    <xf numFmtId="37" fontId="1" fillId="44" borderId="77" xfId="0" applyFont="1" applyFill="1" applyBorder="1" applyAlignment="1">
      <alignment/>
    </xf>
    <xf numFmtId="37" fontId="1" fillId="44" borderId="20" xfId="0" applyFont="1" applyFill="1" applyBorder="1" applyAlignment="1">
      <alignment/>
    </xf>
    <xf numFmtId="37" fontId="6" fillId="44" borderId="44" xfId="0" applyFont="1" applyFill="1" applyBorder="1" applyAlignment="1">
      <alignment/>
    </xf>
    <xf numFmtId="37" fontId="0" fillId="44" borderId="17" xfId="0" applyFill="1" applyBorder="1" applyAlignment="1">
      <alignment/>
    </xf>
    <xf numFmtId="37" fontId="1" fillId="44" borderId="17" xfId="0" applyFont="1" applyFill="1" applyBorder="1" applyAlignment="1">
      <alignment/>
    </xf>
    <xf numFmtId="201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201" fontId="1" fillId="0" borderId="17" xfId="0" applyNumberFormat="1" applyFont="1" applyFill="1" applyBorder="1" applyAlignment="1">
      <alignment horizontal="right"/>
    </xf>
    <xf numFmtId="201" fontId="1" fillId="0" borderId="20" xfId="0" applyNumberFormat="1" applyFont="1" applyFill="1" applyBorder="1" applyAlignment="1">
      <alignment horizontal="right"/>
    </xf>
    <xf numFmtId="37" fontId="1" fillId="44" borderId="46" xfId="0" applyNumberFormat="1" applyFont="1" applyFill="1" applyBorder="1" applyAlignment="1">
      <alignment/>
    </xf>
    <xf numFmtId="37" fontId="1" fillId="0" borderId="42" xfId="0" applyNumberFormat="1" applyFont="1" applyFill="1" applyBorder="1" applyAlignment="1">
      <alignment horizontal="right"/>
    </xf>
    <xf numFmtId="37" fontId="0" fillId="43" borderId="11" xfId="0" applyFill="1" applyBorder="1" applyAlignment="1">
      <alignment/>
    </xf>
    <xf numFmtId="201" fontId="0" fillId="43" borderId="11" xfId="0" applyNumberFormat="1" applyFill="1" applyBorder="1" applyAlignment="1">
      <alignment/>
    </xf>
    <xf numFmtId="37" fontId="0" fillId="43" borderId="11" xfId="0" applyNumberFormat="1" applyFill="1" applyBorder="1" applyAlignment="1">
      <alignment/>
    </xf>
    <xf numFmtId="37" fontId="0" fillId="43" borderId="0" xfId="0" applyFill="1" applyAlignment="1">
      <alignment horizontal="centerContinuous"/>
    </xf>
    <xf numFmtId="37" fontId="0" fillId="43" borderId="0" xfId="0" applyFill="1" applyAlignment="1">
      <alignment/>
    </xf>
    <xf numFmtId="37" fontId="0" fillId="43" borderId="0" xfId="0" applyFill="1" applyBorder="1" applyAlignment="1">
      <alignment/>
    </xf>
    <xf numFmtId="201" fontId="1" fillId="43" borderId="17" xfId="0" applyNumberFormat="1" applyFont="1" applyFill="1" applyBorder="1" applyAlignment="1">
      <alignment horizontal="right"/>
    </xf>
    <xf numFmtId="37" fontId="1" fillId="43" borderId="17" xfId="0" applyFont="1" applyFill="1" applyBorder="1" applyAlignment="1">
      <alignment/>
    </xf>
    <xf numFmtId="201" fontId="1" fillId="43" borderId="17" xfId="0" applyNumberFormat="1" applyFont="1" applyFill="1" applyBorder="1" applyAlignment="1">
      <alignment/>
    </xf>
    <xf numFmtId="37" fontId="1" fillId="43" borderId="42" xfId="0" applyFont="1" applyFill="1" applyBorder="1" applyAlignment="1">
      <alignment horizontal="center"/>
    </xf>
    <xf numFmtId="201" fontId="1" fillId="43" borderId="42" xfId="0" applyNumberFormat="1" applyFont="1" applyFill="1" applyBorder="1" applyAlignment="1">
      <alignment horizontal="right"/>
    </xf>
    <xf numFmtId="201" fontId="0" fillId="43" borderId="17" xfId="0" applyNumberFormat="1" applyFont="1" applyFill="1" applyBorder="1" applyAlignment="1">
      <alignment horizontal="right"/>
    </xf>
    <xf numFmtId="37" fontId="4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0" fontId="11" fillId="0" borderId="53" xfId="0" applyNumberFormat="1" applyFont="1" applyFill="1" applyBorder="1" applyAlignment="1" applyProtection="1">
      <alignment horizontal="left" vertical="center"/>
      <protection/>
    </xf>
    <xf numFmtId="0" fontId="11" fillId="0" borderId="78" xfId="0" applyNumberFormat="1" applyFont="1" applyFill="1" applyBorder="1" applyAlignment="1" applyProtection="1">
      <alignment horizontal="left" vertical="center"/>
      <protection/>
    </xf>
    <xf numFmtId="0" fontId="11" fillId="0" borderId="79" xfId="0" applyNumberFormat="1" applyFont="1" applyFill="1" applyBorder="1" applyAlignment="1" applyProtection="1">
      <alignment horizontal="left" vertical="center"/>
      <protection/>
    </xf>
    <xf numFmtId="0" fontId="14" fillId="0" borderId="80" xfId="0" applyNumberFormat="1" applyFont="1" applyFill="1" applyBorder="1" applyAlignment="1" applyProtection="1">
      <alignment horizontal="center" vertical="center"/>
      <protection/>
    </xf>
    <xf numFmtId="0" fontId="14" fillId="0" borderId="81" xfId="0" applyNumberFormat="1" applyFont="1" applyFill="1" applyBorder="1" applyAlignment="1" applyProtection="1">
      <alignment horizontal="center" vertical="center"/>
      <protection/>
    </xf>
    <xf numFmtId="0" fontId="14" fillId="0" borderId="80" xfId="0" applyNumberFormat="1" applyFont="1" applyFill="1" applyBorder="1" applyAlignment="1" applyProtection="1">
      <alignment horizontal="center" vertical="center" wrapText="1"/>
      <protection/>
    </xf>
    <xf numFmtId="0" fontId="14" fillId="0" borderId="81" xfId="0" applyNumberFormat="1" applyFont="1" applyFill="1" applyBorder="1" applyAlignment="1" applyProtection="1">
      <alignment horizontal="center" vertical="center" wrapText="1"/>
      <protection/>
    </xf>
    <xf numFmtId="0" fontId="14" fillId="0" borderId="64" xfId="0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NumberFormat="1" applyFont="1" applyFill="1" applyBorder="1" applyAlignment="1" applyProtection="1">
      <alignment horizontal="left" vertical="center"/>
      <protection/>
    </xf>
    <xf numFmtId="0" fontId="11" fillId="0" borderId="82" xfId="0" applyNumberFormat="1" applyFont="1" applyFill="1" applyBorder="1" applyAlignment="1" applyProtection="1">
      <alignment horizontal="left" vertical="center"/>
      <protection/>
    </xf>
    <xf numFmtId="0" fontId="11" fillId="0" borderId="62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213" fontId="15" fillId="45" borderId="54" xfId="0" applyNumberFormat="1" applyFont="1" applyFill="1" applyBorder="1" applyAlignment="1" applyProtection="1">
      <alignment horizontal="center" vertical="center" wrapText="1"/>
      <protection/>
    </xf>
    <xf numFmtId="213" fontId="15" fillId="45" borderId="83" xfId="0" applyNumberFormat="1" applyFont="1" applyFill="1" applyBorder="1" applyAlignment="1" applyProtection="1">
      <alignment horizontal="center" vertical="center" wrapText="1"/>
      <protection/>
    </xf>
    <xf numFmtId="213" fontId="15" fillId="45" borderId="8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right" vertical="top" wrapText="1"/>
      <protection/>
    </xf>
    <xf numFmtId="0" fontId="15" fillId="0" borderId="11" xfId="0" applyNumberFormat="1" applyFont="1" applyFill="1" applyBorder="1" applyAlignment="1" applyProtection="1">
      <alignment horizontal="right" vertical="top" wrapText="1"/>
      <protection/>
    </xf>
    <xf numFmtId="0" fontId="15" fillId="0" borderId="12" xfId="0" applyNumberFormat="1" applyFont="1" applyFill="1" applyBorder="1" applyAlignment="1" applyProtection="1">
      <alignment horizontal="right" vertical="top" wrapText="1"/>
      <protection/>
    </xf>
    <xf numFmtId="213" fontId="15" fillId="45" borderId="83" xfId="0" applyNumberFormat="1" applyFont="1" applyFill="1" applyBorder="1" applyAlignment="1" applyProtection="1">
      <alignment vertical="center" wrapText="1"/>
      <protection/>
    </xf>
    <xf numFmtId="0" fontId="0" fillId="45" borderId="83" xfId="0" applyNumberFormat="1" applyFill="1" applyBorder="1" applyAlignment="1" applyProtection="1">
      <alignment vertical="center" wrapText="1"/>
      <protection/>
    </xf>
    <xf numFmtId="0" fontId="0" fillId="45" borderId="84" xfId="0" applyNumberFormat="1" applyFill="1" applyBorder="1" applyAlignment="1" applyProtection="1">
      <alignment vertical="center" wrapText="1"/>
      <protection/>
    </xf>
    <xf numFmtId="0" fontId="15" fillId="0" borderId="35" xfId="0" applyNumberFormat="1" applyFont="1" applyFill="1" applyBorder="1" applyAlignment="1" applyProtection="1">
      <alignment vertical="center" wrapText="1"/>
      <protection/>
    </xf>
    <xf numFmtId="0" fontId="15" fillId="0" borderId="50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15" fillId="0" borderId="12" xfId="0" applyNumberFormat="1" applyFont="1" applyFill="1" applyBorder="1" applyAlignment="1" applyProtection="1">
      <alignment horizontal="left" vertical="center" wrapText="1" indent="3"/>
      <protection/>
    </xf>
    <xf numFmtId="213" fontId="15" fillId="0" borderId="11" xfId="0" applyNumberFormat="1" applyFont="1" applyFill="1" applyBorder="1" applyAlignment="1" applyProtection="1">
      <alignment vertical="center" wrapText="1"/>
      <protection/>
    </xf>
    <xf numFmtId="213" fontId="15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top" wrapText="1" indent="1"/>
      <protection/>
    </xf>
    <xf numFmtId="0" fontId="15" fillId="0" borderId="11" xfId="0" applyNumberFormat="1" applyFont="1" applyFill="1" applyBorder="1" applyAlignment="1" applyProtection="1">
      <alignment horizontal="left" vertical="top" wrapText="1" indent="1"/>
      <protection/>
    </xf>
    <xf numFmtId="0" fontId="15" fillId="0" borderId="12" xfId="0" applyNumberFormat="1" applyFont="1" applyFill="1" applyBorder="1" applyAlignment="1" applyProtection="1">
      <alignment horizontal="left" vertical="top" wrapText="1" indent="1"/>
      <protection/>
    </xf>
    <xf numFmtId="213" fontId="15" fillId="0" borderId="15" xfId="0" applyNumberFormat="1" applyFont="1" applyFill="1" applyBorder="1" applyAlignment="1" applyProtection="1">
      <alignment horizontal="center" vertical="center" wrapText="1"/>
      <protection/>
    </xf>
    <xf numFmtId="213" fontId="15" fillId="0" borderId="11" xfId="0" applyNumberFormat="1" applyFont="1" applyFill="1" applyBorder="1" applyAlignment="1" applyProtection="1">
      <alignment horizontal="center" vertical="center" wrapText="1"/>
      <protection/>
    </xf>
    <xf numFmtId="213" fontId="15" fillId="0" borderId="12" xfId="0" applyNumberFormat="1" applyFont="1" applyFill="1" applyBorder="1" applyAlignment="1" applyProtection="1">
      <alignment horizontal="center" vertical="center" wrapText="1"/>
      <protection/>
    </xf>
    <xf numFmtId="37" fontId="1" fillId="35" borderId="85" xfId="0" applyFont="1" applyFill="1" applyBorder="1" applyAlignment="1">
      <alignment horizontal="center"/>
    </xf>
    <xf numFmtId="37" fontId="1" fillId="35" borderId="86" xfId="0" applyFont="1" applyFill="1" applyBorder="1" applyAlignment="1">
      <alignment horizontal="center"/>
    </xf>
    <xf numFmtId="37" fontId="1" fillId="35" borderId="87" xfId="0" applyFont="1" applyFill="1" applyBorder="1" applyAlignment="1">
      <alignment horizontal="center"/>
    </xf>
    <xf numFmtId="37" fontId="7" fillId="0" borderId="0" xfId="0" applyFont="1" applyAlignment="1">
      <alignment horizontal="center"/>
    </xf>
    <xf numFmtId="0" fontId="23" fillId="0" borderId="0" xfId="52" applyFont="1" applyFill="1" applyBorder="1" applyAlignment="1">
      <alignment horizontal="left"/>
      <protection/>
    </xf>
    <xf numFmtId="0" fontId="21" fillId="0" borderId="30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3" fontId="21" fillId="0" borderId="65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75" xfId="0" applyNumberFormat="1" applyBorder="1" applyAlignment="1">
      <alignment horizontal="center" vertical="center" wrapText="1"/>
    </xf>
    <xf numFmtId="3" fontId="21" fillId="0" borderId="66" xfId="0" applyNumberFormat="1" applyFont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wrapText="1"/>
    </xf>
    <xf numFmtId="0" fontId="21" fillId="0" borderId="66" xfId="0" applyNumberFormat="1" applyFont="1" applyBorder="1" applyAlignment="1">
      <alignment horizontal="center" wrapText="1"/>
    </xf>
    <xf numFmtId="0" fontId="0" fillId="0" borderId="72" xfId="0" applyNumberFormat="1" applyBorder="1" applyAlignment="1">
      <alignment horizontal="center" wrapText="1"/>
    </xf>
    <xf numFmtId="0" fontId="0" fillId="0" borderId="61" xfId="0" applyNumberFormat="1" applyBorder="1" applyAlignment="1">
      <alignment horizontal="center" wrapText="1"/>
    </xf>
    <xf numFmtId="3" fontId="21" fillId="0" borderId="80" xfId="0" applyNumberFormat="1" applyFont="1" applyBorder="1" applyAlignment="1">
      <alignment horizontal="center" vertical="center" wrapText="1"/>
    </xf>
    <xf numFmtId="3" fontId="21" fillId="0" borderId="64" xfId="0" applyNumberFormat="1" applyFont="1" applyBorder="1" applyAlignment="1">
      <alignment horizontal="center" vertical="center" wrapText="1"/>
    </xf>
    <xf numFmtId="3" fontId="21" fillId="0" borderId="66" xfId="0" applyNumberFormat="1" applyFont="1" applyBorder="1" applyAlignment="1">
      <alignment horizontal="center"/>
    </xf>
    <xf numFmtId="0" fontId="0" fillId="0" borderId="72" xfId="0" applyNumberFormat="1" applyBorder="1" applyAlignment="1">
      <alignment horizontal="center"/>
    </xf>
    <xf numFmtId="3" fontId="21" fillId="0" borderId="65" xfId="0" applyNumberFormat="1" applyFont="1" applyFill="1" applyBorder="1" applyAlignment="1">
      <alignment horizontal="center" vertical="center" wrapText="1"/>
    </xf>
    <xf numFmtId="0" fontId="0" fillId="0" borderId="75" xfId="0" applyNumberForma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sto Planta Personal 2-PTFS y 3 PTNFS60%" xfId="52"/>
    <cellStyle name="Normal_FORMAT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zoomScale="75" zoomScaleNormal="75" zoomScalePageLayoutView="0" workbookViewId="0" topLeftCell="A1">
      <selection activeCell="A6" sqref="A6"/>
    </sheetView>
  </sheetViews>
  <sheetFormatPr defaultColWidth="0" defaultRowHeight="12.75" zeroHeight="1"/>
  <cols>
    <col min="1" max="1" width="8.8515625" style="0" customWidth="1"/>
    <col min="2" max="2" width="45.140625" style="0" customWidth="1"/>
    <col min="3" max="3" width="17.7109375" style="0" customWidth="1"/>
    <col min="4" max="4" width="23.00390625" style="0" customWidth="1"/>
    <col min="5" max="5" width="11.421875" style="0" customWidth="1"/>
    <col min="6" max="16384" width="0" style="0" hidden="1" customWidth="1"/>
  </cols>
  <sheetData>
    <row r="1" spans="1:4" ht="18">
      <c r="A1" s="31" t="s">
        <v>279</v>
      </c>
      <c r="B1" s="24"/>
      <c r="C1" s="24"/>
      <c r="D1" s="24"/>
    </row>
    <row r="2" spans="1:4" ht="18">
      <c r="A2" s="31" t="s">
        <v>216</v>
      </c>
      <c r="B2" s="24"/>
      <c r="C2" s="24"/>
      <c r="D2" s="24"/>
    </row>
    <row r="3" spans="1:4" ht="15.75">
      <c r="A3" s="25" t="s">
        <v>217</v>
      </c>
      <c r="B3" s="24"/>
      <c r="C3" s="24"/>
      <c r="D3" s="24"/>
    </row>
    <row r="4" ht="12.75"/>
    <row r="5" ht="15.75">
      <c r="A5" s="18" t="s">
        <v>309</v>
      </c>
    </row>
    <row r="6" spans="1:4" ht="15.75">
      <c r="A6" s="18" t="s">
        <v>310</v>
      </c>
      <c r="D6" s="36" t="s">
        <v>1</v>
      </c>
    </row>
    <row r="7" ht="15.75">
      <c r="A7" s="18" t="s">
        <v>311</v>
      </c>
    </row>
    <row r="8" ht="15.75">
      <c r="A8" s="18" t="s">
        <v>312</v>
      </c>
    </row>
    <row r="9" spans="1:4" ht="15.75">
      <c r="A9" s="18"/>
      <c r="D9" s="36"/>
    </row>
    <row r="10" spans="1:4" ht="12.75">
      <c r="A10" s="22" t="s">
        <v>2</v>
      </c>
      <c r="B10" s="22" t="s">
        <v>3</v>
      </c>
      <c r="C10" s="23" t="s">
        <v>4</v>
      </c>
      <c r="D10" s="71" t="s">
        <v>4</v>
      </c>
    </row>
    <row r="11" spans="1:4" ht="12.75">
      <c r="A11" s="5"/>
      <c r="B11" s="5"/>
      <c r="C11" s="6" t="s">
        <v>5</v>
      </c>
      <c r="D11" s="6" t="s">
        <v>6</v>
      </c>
    </row>
    <row r="12" spans="1:4" ht="12.75">
      <c r="A12" s="5"/>
      <c r="B12" s="5"/>
      <c r="C12" s="6" t="s">
        <v>278</v>
      </c>
      <c r="D12" s="6" t="s">
        <v>269</v>
      </c>
    </row>
    <row r="13" spans="1:4" ht="12.75">
      <c r="A13" s="7"/>
      <c r="B13" s="7"/>
      <c r="C13" s="8">
        <v>1</v>
      </c>
      <c r="D13" s="9">
        <v>2</v>
      </c>
    </row>
    <row r="14" spans="1:4" ht="20.25">
      <c r="A14" s="96">
        <v>3000</v>
      </c>
      <c r="B14" s="97" t="s">
        <v>7</v>
      </c>
      <c r="C14" s="98">
        <f>+C15+C31+C46</f>
        <v>11499</v>
      </c>
      <c r="D14" s="98">
        <f>+D15+D31+D46</f>
        <v>12737</v>
      </c>
    </row>
    <row r="15" spans="1:4" ht="18">
      <c r="A15" s="246">
        <v>3100</v>
      </c>
      <c r="B15" s="247" t="s">
        <v>8</v>
      </c>
      <c r="C15" s="248">
        <f>+C16+C18+C26+C27</f>
        <v>8106</v>
      </c>
      <c r="D15" s="248">
        <f>+D16+D18+D26+D27</f>
        <v>8846</v>
      </c>
    </row>
    <row r="16" spans="1:4" ht="18">
      <c r="A16" s="253">
        <v>3110</v>
      </c>
      <c r="B16" s="252" t="s">
        <v>9</v>
      </c>
      <c r="C16" s="254">
        <f>+SUM(C17:C17)</f>
        <v>0</v>
      </c>
      <c r="D16" s="254">
        <f>+SUM(D17:D17)</f>
        <v>0</v>
      </c>
    </row>
    <row r="17" spans="1:4" ht="12.75">
      <c r="A17" s="75">
        <v>3112</v>
      </c>
      <c r="B17" s="27" t="s">
        <v>10</v>
      </c>
      <c r="C17" s="13"/>
      <c r="D17" s="13"/>
    </row>
    <row r="18" spans="1:4" ht="18">
      <c r="A18" s="255">
        <v>3120</v>
      </c>
      <c r="B18" s="256" t="s">
        <v>11</v>
      </c>
      <c r="C18" s="257">
        <f>+SUM(C19:C25)</f>
        <v>8106</v>
      </c>
      <c r="D18" s="257">
        <f>+SUM(D19:D25)</f>
        <v>8846</v>
      </c>
    </row>
    <row r="19" spans="1:4" s="105" customFormat="1" ht="12.75">
      <c r="A19" s="242">
        <v>3121</v>
      </c>
      <c r="B19" s="233" t="s">
        <v>12</v>
      </c>
      <c r="C19" s="234">
        <v>247</v>
      </c>
      <c r="D19" s="234">
        <v>354</v>
      </c>
    </row>
    <row r="20" spans="1:4" s="105" customFormat="1" ht="12.75">
      <c r="A20" s="232">
        <v>3123</v>
      </c>
      <c r="B20" s="233" t="s">
        <v>13</v>
      </c>
      <c r="C20" s="234"/>
      <c r="D20" s="234"/>
    </row>
    <row r="21" spans="1:4" s="105" customFormat="1" ht="12.75">
      <c r="A21" s="232">
        <v>3124</v>
      </c>
      <c r="B21" s="233" t="s">
        <v>14</v>
      </c>
      <c r="C21" s="234"/>
      <c r="D21" s="234"/>
    </row>
    <row r="22" spans="1:4" s="105" customFormat="1" ht="12.75">
      <c r="A22" s="232">
        <v>3125</v>
      </c>
      <c r="B22" s="233" t="s">
        <v>15</v>
      </c>
      <c r="C22" s="234"/>
      <c r="D22" s="234"/>
    </row>
    <row r="23" spans="1:4" s="105" customFormat="1" ht="12.75">
      <c r="A23" s="232">
        <v>3126</v>
      </c>
      <c r="B23" s="233" t="s">
        <v>16</v>
      </c>
      <c r="C23" s="234"/>
      <c r="D23" s="234"/>
    </row>
    <row r="24" spans="1:4" s="105" customFormat="1" ht="12.75">
      <c r="A24" s="232">
        <v>3127</v>
      </c>
      <c r="B24" s="290" t="s">
        <v>313</v>
      </c>
      <c r="C24" s="234">
        <v>7859</v>
      </c>
      <c r="D24" s="234">
        <v>8492</v>
      </c>
    </row>
    <row r="25" spans="1:4" s="105" customFormat="1" ht="12.75">
      <c r="A25" s="232">
        <v>3128</v>
      </c>
      <c r="B25" s="233" t="s">
        <v>17</v>
      </c>
      <c r="C25" s="234"/>
      <c r="D25" s="234"/>
    </row>
    <row r="26" spans="1:4" s="105" customFormat="1" ht="12.75">
      <c r="A26" s="232">
        <v>3129</v>
      </c>
      <c r="B26" s="233" t="s">
        <v>285</v>
      </c>
      <c r="C26" s="234">
        <v>0</v>
      </c>
      <c r="D26" s="234">
        <v>0</v>
      </c>
    </row>
    <row r="27" spans="1:4" s="105" customFormat="1" ht="12.75">
      <c r="A27" s="232">
        <v>3130</v>
      </c>
      <c r="B27" s="233" t="s">
        <v>286</v>
      </c>
      <c r="C27" s="234">
        <f>+C28+C29+C30</f>
        <v>0</v>
      </c>
      <c r="D27" s="234">
        <f>+D28+D29+D30</f>
        <v>0</v>
      </c>
    </row>
    <row r="28" spans="1:4" s="105" customFormat="1" ht="12.75">
      <c r="A28" s="232">
        <v>3131</v>
      </c>
      <c r="B28" s="244" t="s">
        <v>287</v>
      </c>
      <c r="C28" s="234"/>
      <c r="D28" s="234"/>
    </row>
    <row r="29" spans="1:4" s="105" customFormat="1" ht="12.75">
      <c r="A29" s="232">
        <v>3132</v>
      </c>
      <c r="B29" s="244" t="s">
        <v>288</v>
      </c>
      <c r="C29" s="234"/>
      <c r="D29" s="234"/>
    </row>
    <row r="30" spans="1:4" s="105" customFormat="1" ht="12.75">
      <c r="A30" s="243">
        <v>3133</v>
      </c>
      <c r="B30" s="244" t="s">
        <v>289</v>
      </c>
      <c r="C30" s="234"/>
      <c r="D30" s="234"/>
    </row>
    <row r="31" spans="1:4" ht="18">
      <c r="A31" s="249">
        <v>3200</v>
      </c>
      <c r="B31" s="250" t="s">
        <v>18</v>
      </c>
      <c r="C31" s="251">
        <f>+C32+C35+C38+C39+C45</f>
        <v>3393</v>
      </c>
      <c r="D31" s="251">
        <f>+D32+D35+D38+D39+D45</f>
        <v>3891</v>
      </c>
    </row>
    <row r="32" spans="1:4" ht="12.75">
      <c r="A32" s="74">
        <v>3210</v>
      </c>
      <c r="B32" s="26" t="s">
        <v>19</v>
      </c>
      <c r="C32" s="72">
        <f>+SUM(C33:C34)</f>
        <v>0</v>
      </c>
      <c r="D32" s="72">
        <f>+SUM(D33:D34)</f>
        <v>0</v>
      </c>
    </row>
    <row r="33" spans="1:4" ht="12.75">
      <c r="A33" s="10">
        <v>3211</v>
      </c>
      <c r="B33" s="2" t="s">
        <v>20</v>
      </c>
      <c r="C33" s="13"/>
      <c r="D33" s="13"/>
    </row>
    <row r="34" spans="1:4" ht="12.75">
      <c r="A34" s="10">
        <v>3212</v>
      </c>
      <c r="B34" s="2" t="s">
        <v>21</v>
      </c>
      <c r="C34" s="13"/>
      <c r="D34" s="13"/>
    </row>
    <row r="35" spans="1:4" ht="12.75">
      <c r="A35" s="74">
        <v>3220</v>
      </c>
      <c r="B35" s="26" t="s">
        <v>22</v>
      </c>
      <c r="C35" s="72">
        <f>+SUM(C36:C37)</f>
        <v>0</v>
      </c>
      <c r="D35" s="72">
        <f>+SUM(D36:D37)</f>
        <v>0</v>
      </c>
    </row>
    <row r="36" spans="1:4" ht="12.75">
      <c r="A36" s="10">
        <v>3221</v>
      </c>
      <c r="B36" s="2" t="s">
        <v>20</v>
      </c>
      <c r="C36" s="13"/>
      <c r="D36" s="13"/>
    </row>
    <row r="37" spans="1:4" ht="12.75">
      <c r="A37" s="11">
        <v>3222</v>
      </c>
      <c r="B37" s="3" t="s">
        <v>21</v>
      </c>
      <c r="C37" s="12"/>
      <c r="D37" s="12"/>
    </row>
    <row r="38" spans="1:4" ht="12.75">
      <c r="A38" s="75">
        <v>3230</v>
      </c>
      <c r="B38" s="27" t="s">
        <v>23</v>
      </c>
      <c r="C38" s="13"/>
      <c r="D38" s="13"/>
    </row>
    <row r="39" spans="1:4" ht="12.75">
      <c r="A39" s="74">
        <v>3250</v>
      </c>
      <c r="B39" s="26" t="s">
        <v>24</v>
      </c>
      <c r="C39" s="72">
        <f>+SUM(C40:C44)</f>
        <v>3393</v>
      </c>
      <c r="D39" s="72">
        <f>+SUM(D40:D44)</f>
        <v>3891</v>
      </c>
    </row>
    <row r="40" spans="1:4" ht="12.75">
      <c r="A40" s="10">
        <v>3251</v>
      </c>
      <c r="B40" s="2" t="s">
        <v>25</v>
      </c>
      <c r="C40" s="13"/>
      <c r="D40" s="13"/>
    </row>
    <row r="41" spans="1:4" ht="12.75">
      <c r="A41" s="10">
        <v>3252</v>
      </c>
      <c r="B41" s="2" t="s">
        <v>26</v>
      </c>
      <c r="C41" s="13">
        <v>3393</v>
      </c>
      <c r="D41" s="13">
        <v>3891</v>
      </c>
    </row>
    <row r="42" spans="1:4" ht="12.75">
      <c r="A42" s="10">
        <v>3253</v>
      </c>
      <c r="B42" s="2" t="s">
        <v>27</v>
      </c>
      <c r="C42" s="13"/>
      <c r="D42" s="13"/>
    </row>
    <row r="43" spans="1:4" ht="12.75">
      <c r="A43" s="10">
        <v>3254</v>
      </c>
      <c r="B43" s="2" t="s">
        <v>28</v>
      </c>
      <c r="C43" s="13"/>
      <c r="D43" s="13"/>
    </row>
    <row r="44" spans="1:4" ht="12.75">
      <c r="A44" s="10">
        <v>3255</v>
      </c>
      <c r="B44" s="2" t="s">
        <v>283</v>
      </c>
      <c r="C44" s="13"/>
      <c r="D44" s="13"/>
    </row>
    <row r="45" spans="1:4" ht="12.75">
      <c r="A45" s="74">
        <v>3260</v>
      </c>
      <c r="B45" s="26" t="s">
        <v>29</v>
      </c>
      <c r="C45" s="72"/>
      <c r="D45" s="72"/>
    </row>
    <row r="46" spans="1:4" ht="18">
      <c r="A46" s="246">
        <v>3500</v>
      </c>
      <c r="B46" s="247" t="s">
        <v>282</v>
      </c>
      <c r="C46" s="248">
        <v>0</v>
      </c>
      <c r="D46" s="248">
        <v>0</v>
      </c>
    </row>
    <row r="47" spans="1:4" ht="20.25">
      <c r="A47" s="96">
        <v>4000</v>
      </c>
      <c r="B47" s="96" t="s">
        <v>284</v>
      </c>
      <c r="C47" s="99">
        <f>+SUM(C48:C50)</f>
        <v>0</v>
      </c>
      <c r="D47" s="99">
        <f>+SUM(D48:D50)</f>
        <v>0</v>
      </c>
    </row>
    <row r="48" spans="1:4" ht="12.75">
      <c r="A48" s="77">
        <v>4100</v>
      </c>
      <c r="B48" s="77" t="s">
        <v>30</v>
      </c>
      <c r="C48" s="70"/>
      <c r="D48" s="70"/>
    </row>
    <row r="49" spans="1:4" ht="12.75">
      <c r="A49" s="77">
        <v>4200</v>
      </c>
      <c r="B49" s="77" t="s">
        <v>31</v>
      </c>
      <c r="C49" s="70"/>
      <c r="D49" s="70"/>
    </row>
    <row r="50" spans="1:4" ht="12.75">
      <c r="A50" s="77">
        <v>4300</v>
      </c>
      <c r="B50" s="77" t="s">
        <v>32</v>
      </c>
      <c r="C50" s="70"/>
      <c r="D50" s="70"/>
    </row>
    <row r="51" spans="1:4" ht="20.25">
      <c r="A51" s="96" t="s">
        <v>33</v>
      </c>
      <c r="B51" s="97"/>
      <c r="C51" s="99">
        <f>+C47+C14</f>
        <v>11499</v>
      </c>
      <c r="D51" s="99">
        <f>+D47+D14</f>
        <v>12737</v>
      </c>
    </row>
    <row r="52" spans="2:4" ht="12.75">
      <c r="B52" s="4"/>
      <c r="C52" s="14"/>
      <c r="D52" s="14"/>
    </row>
    <row r="53" spans="2:4" ht="15">
      <c r="B53" s="19" t="s">
        <v>34</v>
      </c>
      <c r="C53" s="15"/>
      <c r="D53" s="15"/>
    </row>
    <row r="54" spans="2:4" ht="12.75">
      <c r="B54" s="22" t="s">
        <v>3</v>
      </c>
      <c r="C54" s="23" t="s">
        <v>4</v>
      </c>
      <c r="D54" s="71" t="s">
        <v>4</v>
      </c>
    </row>
    <row r="55" spans="2:4" ht="12.75">
      <c r="B55" s="5"/>
      <c r="C55" s="6" t="s">
        <v>5</v>
      </c>
      <c r="D55" s="6" t="s">
        <v>6</v>
      </c>
    </row>
    <row r="56" spans="2:4" ht="12.75">
      <c r="B56" s="5"/>
      <c r="C56" s="6" t="s">
        <v>278</v>
      </c>
      <c r="D56" s="6" t="s">
        <v>269</v>
      </c>
    </row>
    <row r="57" spans="2:4" ht="12.75">
      <c r="B57" s="5"/>
      <c r="C57" s="6"/>
      <c r="D57" s="6"/>
    </row>
    <row r="58" spans="2:4" ht="12.75">
      <c r="B58" s="7"/>
      <c r="C58" s="8"/>
      <c r="D58" s="9"/>
    </row>
    <row r="59" spans="2:4" ht="12.75">
      <c r="B59" s="76" t="s">
        <v>35</v>
      </c>
      <c r="C59" s="12">
        <f>+SUM(C60:C62)</f>
        <v>11499</v>
      </c>
      <c r="D59" s="12">
        <f>+SUM(D60:D62)</f>
        <v>12737</v>
      </c>
    </row>
    <row r="60" spans="2:4" ht="12.75">
      <c r="B60" s="2" t="s">
        <v>36</v>
      </c>
      <c r="C60" s="13">
        <f>+C15</f>
        <v>8106</v>
      </c>
      <c r="D60" s="13">
        <f>+D15</f>
        <v>8846</v>
      </c>
    </row>
    <row r="61" spans="2:4" ht="12.75">
      <c r="B61" s="2" t="s">
        <v>37</v>
      </c>
      <c r="C61" s="13">
        <f>+C31</f>
        <v>3393</v>
      </c>
      <c r="D61" s="13">
        <f>+D31</f>
        <v>3891</v>
      </c>
    </row>
    <row r="62" spans="2:4" ht="12.75">
      <c r="B62" s="2" t="s">
        <v>38</v>
      </c>
      <c r="C62" s="13">
        <f>+C46</f>
        <v>0</v>
      </c>
      <c r="D62" s="13">
        <f>+D46</f>
        <v>0</v>
      </c>
    </row>
    <row r="63" spans="2:4" ht="12.75">
      <c r="B63" s="26" t="s">
        <v>39</v>
      </c>
      <c r="C63" s="72">
        <f>+C47</f>
        <v>0</v>
      </c>
      <c r="D63" s="72">
        <f>+D47</f>
        <v>0</v>
      </c>
    </row>
    <row r="64" spans="2:4" ht="12.75">
      <c r="B64" s="76" t="s">
        <v>40</v>
      </c>
      <c r="C64" s="12">
        <f>+C63+C59</f>
        <v>11499</v>
      </c>
      <c r="D64" s="12">
        <f>+D63+D59</f>
        <v>12737</v>
      </c>
    </row>
    <row r="65" ht="12.75"/>
  </sheetData>
  <sheetProtection/>
  <printOptions horizontalCentered="1"/>
  <pageMargins left="0.75" right="0.75" top="0.25" bottom="1" header="0.5118110236220472" footer="0.5118110236220472"/>
  <pageSetup fitToHeight="1" fitToWidth="1" horizontalDpi="240" verticalDpi="24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showGridLines="0" zoomScale="75" zoomScaleNormal="75" zoomScalePageLayoutView="0" workbookViewId="0" topLeftCell="A115">
      <selection activeCell="A5" sqref="A5:K5"/>
    </sheetView>
  </sheetViews>
  <sheetFormatPr defaultColWidth="0" defaultRowHeight="12.75" zeroHeight="1"/>
  <cols>
    <col min="1" max="1" width="8.7109375" style="0" customWidth="1"/>
    <col min="2" max="2" width="62.8515625" style="0" customWidth="1"/>
    <col min="3" max="8" width="11.421875" style="108" customWidth="1"/>
    <col min="9" max="9" width="10.8515625" style="108" customWidth="1"/>
    <col min="10" max="10" width="17.140625" style="108" customWidth="1"/>
    <col min="11" max="11" width="11.421875" style="108" customWidth="1"/>
    <col min="12" max="12" width="11.421875" style="0" customWidth="1"/>
    <col min="13" max="16384" width="0" style="0" hidden="1" customWidth="1"/>
  </cols>
  <sheetData>
    <row r="1" spans="1:11" ht="18" customHeight="1">
      <c r="A1" s="467" t="s">
        <v>279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8" customHeight="1">
      <c r="A2" s="467" t="s">
        <v>216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15.75" customHeight="1">
      <c r="A3" s="468" t="s">
        <v>218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ht="15.75" customHeight="1">
      <c r="A4" s="106"/>
      <c r="B4" s="106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.75" customHeight="1">
      <c r="A5" s="468" t="s">
        <v>314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</row>
    <row r="6" spans="1:11" ht="15.75">
      <c r="A6" s="18" t="s">
        <v>309</v>
      </c>
      <c r="H6" s="109"/>
      <c r="I6" s="110" t="s">
        <v>68</v>
      </c>
      <c r="J6" s="110"/>
      <c r="K6" s="111"/>
    </row>
    <row r="7" spans="1:11" ht="15.75">
      <c r="A7" s="18" t="s">
        <v>310</v>
      </c>
      <c r="H7" s="109"/>
      <c r="I7" s="110" t="s">
        <v>68</v>
      </c>
      <c r="J7" s="110" t="s">
        <v>1</v>
      </c>
      <c r="K7" s="111"/>
    </row>
    <row r="8" spans="1:11" ht="15.75">
      <c r="A8" s="18" t="s">
        <v>311</v>
      </c>
      <c r="H8" s="109"/>
      <c r="I8" s="110" t="s">
        <v>68</v>
      </c>
      <c r="J8" s="110"/>
      <c r="K8" s="111"/>
    </row>
    <row r="9" spans="1:11" ht="15.75">
      <c r="A9" s="18"/>
      <c r="H9" s="291" t="s">
        <v>315</v>
      </c>
      <c r="I9" s="110"/>
      <c r="J9" s="110"/>
      <c r="K9" s="112"/>
    </row>
    <row r="10" spans="1:11" ht="12.75">
      <c r="A10" s="101" t="s">
        <v>69</v>
      </c>
      <c r="B10" s="102" t="s">
        <v>3</v>
      </c>
      <c r="C10" s="113" t="s">
        <v>270</v>
      </c>
      <c r="D10" s="113"/>
      <c r="E10" s="113"/>
      <c r="F10" s="113" t="s">
        <v>271</v>
      </c>
      <c r="G10" s="113"/>
      <c r="H10" s="113"/>
      <c r="I10" s="113" t="s">
        <v>191</v>
      </c>
      <c r="J10" s="113"/>
      <c r="K10" s="113"/>
    </row>
    <row r="11" spans="1:11" ht="12.75">
      <c r="A11" s="103"/>
      <c r="B11" s="104"/>
      <c r="C11" s="114" t="s">
        <v>70</v>
      </c>
      <c r="D11" s="114" t="s">
        <v>71</v>
      </c>
      <c r="E11" s="114" t="s">
        <v>72</v>
      </c>
      <c r="F11" s="114" t="s">
        <v>70</v>
      </c>
      <c r="G11" s="114" t="s">
        <v>71</v>
      </c>
      <c r="H11" s="114" t="s">
        <v>72</v>
      </c>
      <c r="I11" s="114" t="s">
        <v>70</v>
      </c>
      <c r="J11" s="114" t="s">
        <v>71</v>
      </c>
      <c r="K11" s="114" t="s">
        <v>72</v>
      </c>
    </row>
    <row r="12" spans="1:11" ht="12.75">
      <c r="A12" s="103"/>
      <c r="B12" s="104"/>
      <c r="C12" s="114" t="s">
        <v>73</v>
      </c>
      <c r="D12" s="114" t="s">
        <v>74</v>
      </c>
      <c r="E12" s="114"/>
      <c r="F12" s="114" t="s">
        <v>73</v>
      </c>
      <c r="G12" s="114" t="s">
        <v>74</v>
      </c>
      <c r="H12" s="114"/>
      <c r="I12" s="114" t="s">
        <v>73</v>
      </c>
      <c r="J12" s="114" t="s">
        <v>74</v>
      </c>
      <c r="K12" s="114"/>
    </row>
    <row r="13" spans="1:11" ht="12.75">
      <c r="A13" s="103"/>
      <c r="B13" s="104"/>
      <c r="C13" s="114" t="s">
        <v>75</v>
      </c>
      <c r="D13" s="114"/>
      <c r="E13" s="114"/>
      <c r="F13" s="114" t="s">
        <v>75</v>
      </c>
      <c r="G13" s="114"/>
      <c r="H13" s="114"/>
      <c r="I13" s="114" t="s">
        <v>75</v>
      </c>
      <c r="J13" s="114"/>
      <c r="K13" s="114"/>
    </row>
    <row r="14" spans="1:11" s="117" customFormat="1" ht="13.5" thickBot="1">
      <c r="A14" s="115"/>
      <c r="B14" s="115"/>
      <c r="C14" s="116">
        <v>1</v>
      </c>
      <c r="D14" s="116">
        <v>2</v>
      </c>
      <c r="E14" s="116" t="s">
        <v>192</v>
      </c>
      <c r="F14" s="116">
        <v>4</v>
      </c>
      <c r="G14" s="116">
        <v>5</v>
      </c>
      <c r="H14" s="116" t="s">
        <v>193</v>
      </c>
      <c r="I14" s="116">
        <v>7</v>
      </c>
      <c r="J14" s="116">
        <v>8</v>
      </c>
      <c r="K14" s="116" t="s">
        <v>194</v>
      </c>
    </row>
    <row r="15" spans="1:11" ht="21" thickBot="1">
      <c r="A15" s="258" t="s">
        <v>76</v>
      </c>
      <c r="B15" s="259" t="s">
        <v>77</v>
      </c>
      <c r="C15" s="260">
        <f aca="true" t="shared" si="0" ref="C15:K15">+SUM(C16,C25,C28,C78,C81)</f>
        <v>0</v>
      </c>
      <c r="D15" s="260">
        <f t="shared" si="0"/>
        <v>8345</v>
      </c>
      <c r="E15" s="260">
        <f t="shared" si="0"/>
        <v>8345</v>
      </c>
      <c r="F15" s="260">
        <f t="shared" si="0"/>
        <v>0</v>
      </c>
      <c r="G15" s="260">
        <f t="shared" si="0"/>
        <v>8030</v>
      </c>
      <c r="H15" s="260">
        <f t="shared" si="0"/>
        <v>8030</v>
      </c>
      <c r="I15" s="260">
        <f t="shared" si="0"/>
        <v>0</v>
      </c>
      <c r="J15" s="260">
        <f t="shared" si="0"/>
        <v>0</v>
      </c>
      <c r="K15" s="260">
        <f t="shared" si="0"/>
        <v>0</v>
      </c>
    </row>
    <row r="16" spans="1:11" ht="18.75" thickBot="1">
      <c r="A16" s="118">
        <v>1000</v>
      </c>
      <c r="B16" s="119" t="s">
        <v>78</v>
      </c>
      <c r="C16" s="120">
        <f>+SUM(C17,C23:C24)</f>
        <v>0</v>
      </c>
      <c r="D16" s="120">
        <f aca="true" t="shared" si="1" ref="D16:K16">+SUM(D17,D23:D24)</f>
        <v>5324</v>
      </c>
      <c r="E16" s="120">
        <f t="shared" si="1"/>
        <v>5324</v>
      </c>
      <c r="F16" s="120">
        <f t="shared" si="1"/>
        <v>0</v>
      </c>
      <c r="G16" s="120">
        <f t="shared" si="1"/>
        <v>5610</v>
      </c>
      <c r="H16" s="120">
        <f t="shared" si="1"/>
        <v>5610</v>
      </c>
      <c r="I16" s="120">
        <f t="shared" si="1"/>
        <v>0</v>
      </c>
      <c r="J16" s="120">
        <f t="shared" si="1"/>
        <v>0</v>
      </c>
      <c r="K16" s="120">
        <f t="shared" si="1"/>
        <v>0</v>
      </c>
    </row>
    <row r="17" spans="1:11" ht="12.75">
      <c r="A17" s="121">
        <v>1010</v>
      </c>
      <c r="B17" s="122" t="s">
        <v>79</v>
      </c>
      <c r="C17" s="123">
        <f aca="true" t="shared" si="2" ref="C17:K17">+SUM(C18:C22)</f>
        <v>0</v>
      </c>
      <c r="D17" s="123">
        <f t="shared" si="2"/>
        <v>3816</v>
      </c>
      <c r="E17" s="123">
        <f t="shared" si="2"/>
        <v>3816</v>
      </c>
      <c r="F17" s="123">
        <f t="shared" si="2"/>
        <v>0</v>
      </c>
      <c r="G17" s="123">
        <f t="shared" si="2"/>
        <v>4023</v>
      </c>
      <c r="H17" s="123">
        <f t="shared" si="2"/>
        <v>4023</v>
      </c>
      <c r="I17" s="123">
        <f t="shared" si="2"/>
        <v>0</v>
      </c>
      <c r="J17" s="123">
        <f t="shared" si="2"/>
        <v>0</v>
      </c>
      <c r="K17" s="123">
        <f t="shared" si="2"/>
        <v>0</v>
      </c>
    </row>
    <row r="18" spans="1:11" ht="12.75">
      <c r="A18" s="124">
        <v>1011</v>
      </c>
      <c r="B18" s="125" t="s">
        <v>80</v>
      </c>
      <c r="C18" s="126"/>
      <c r="D18" s="126">
        <v>2638</v>
      </c>
      <c r="E18" s="126">
        <f>+C18+D18</f>
        <v>2638</v>
      </c>
      <c r="F18" s="126"/>
      <c r="G18" s="126">
        <v>2787</v>
      </c>
      <c r="H18" s="126">
        <f aca="true" t="shared" si="3" ref="H18:H24">+F18+G18</f>
        <v>2787</v>
      </c>
      <c r="I18" s="126"/>
      <c r="J18" s="126"/>
      <c r="K18" s="126"/>
    </row>
    <row r="19" spans="1:11" ht="12.75">
      <c r="A19" s="124">
        <v>1014</v>
      </c>
      <c r="B19" s="125" t="s">
        <v>81</v>
      </c>
      <c r="C19" s="126"/>
      <c r="D19" s="126">
        <v>340</v>
      </c>
      <c r="E19" s="126">
        <f aca="true" t="shared" si="4" ref="E19:E27">+C19+D19</f>
        <v>340</v>
      </c>
      <c r="F19" s="126"/>
      <c r="G19" s="126">
        <v>354</v>
      </c>
      <c r="H19" s="126">
        <f t="shared" si="3"/>
        <v>354</v>
      </c>
      <c r="I19" s="126"/>
      <c r="J19" s="126"/>
      <c r="K19" s="126"/>
    </row>
    <row r="20" spans="1:11" ht="12.75">
      <c r="A20" s="124">
        <v>1015</v>
      </c>
      <c r="B20" s="125" t="s">
        <v>82</v>
      </c>
      <c r="C20" s="126"/>
      <c r="D20" s="126">
        <v>662</v>
      </c>
      <c r="E20" s="126">
        <f t="shared" si="4"/>
        <v>662</v>
      </c>
      <c r="F20" s="126"/>
      <c r="G20" s="126">
        <v>692</v>
      </c>
      <c r="H20" s="126">
        <f t="shared" si="3"/>
        <v>692</v>
      </c>
      <c r="I20" s="126"/>
      <c r="J20" s="126"/>
      <c r="K20" s="126"/>
    </row>
    <row r="21" spans="1:11" ht="12.75">
      <c r="A21" s="124">
        <v>1018</v>
      </c>
      <c r="B21" s="125" t="s">
        <v>195</v>
      </c>
      <c r="C21" s="126"/>
      <c r="D21" s="126">
        <v>168</v>
      </c>
      <c r="E21" s="126">
        <f t="shared" si="4"/>
        <v>168</v>
      </c>
      <c r="F21" s="126"/>
      <c r="G21" s="126">
        <v>176</v>
      </c>
      <c r="H21" s="126">
        <f t="shared" si="3"/>
        <v>176</v>
      </c>
      <c r="I21" s="126"/>
      <c r="J21" s="126"/>
      <c r="K21" s="126"/>
    </row>
    <row r="22" spans="1:11" ht="12.75">
      <c r="A22" s="124">
        <v>1019</v>
      </c>
      <c r="B22" s="125" t="s">
        <v>196</v>
      </c>
      <c r="C22" s="126"/>
      <c r="D22" s="126">
        <v>8</v>
      </c>
      <c r="E22" s="126">
        <f t="shared" si="4"/>
        <v>8</v>
      </c>
      <c r="F22" s="126"/>
      <c r="G22" s="126">
        <v>14</v>
      </c>
      <c r="H22" s="126">
        <f t="shared" si="3"/>
        <v>14</v>
      </c>
      <c r="I22" s="126"/>
      <c r="J22" s="126"/>
      <c r="K22" s="126"/>
    </row>
    <row r="23" spans="1:11" ht="12.75">
      <c r="A23" s="127">
        <v>1020</v>
      </c>
      <c r="B23" s="128" t="s">
        <v>83</v>
      </c>
      <c r="C23" s="129">
        <v>0</v>
      </c>
      <c r="D23" s="129">
        <v>374</v>
      </c>
      <c r="E23" s="126">
        <f t="shared" si="4"/>
        <v>374</v>
      </c>
      <c r="F23" s="129">
        <v>0</v>
      </c>
      <c r="G23" s="129">
        <v>386</v>
      </c>
      <c r="H23" s="126">
        <f t="shared" si="3"/>
        <v>386</v>
      </c>
      <c r="I23" s="129">
        <v>0</v>
      </c>
      <c r="J23" s="129">
        <v>0</v>
      </c>
      <c r="K23" s="129">
        <v>0</v>
      </c>
    </row>
    <row r="24" spans="1:11" ht="15.75" customHeight="1" thickBot="1">
      <c r="A24" s="127">
        <v>1050</v>
      </c>
      <c r="B24" s="128" t="s">
        <v>197</v>
      </c>
      <c r="C24" s="129">
        <v>0</v>
      </c>
      <c r="D24" s="129">
        <v>1134</v>
      </c>
      <c r="E24" s="126">
        <f t="shared" si="4"/>
        <v>1134</v>
      </c>
      <c r="F24" s="129">
        <v>0</v>
      </c>
      <c r="G24" s="129">
        <v>1201</v>
      </c>
      <c r="H24" s="126">
        <f t="shared" si="3"/>
        <v>1201</v>
      </c>
      <c r="I24" s="129">
        <v>0</v>
      </c>
      <c r="J24" s="129">
        <v>0</v>
      </c>
      <c r="K24" s="129"/>
    </row>
    <row r="25" spans="1:11" ht="18.75" thickBot="1">
      <c r="A25" s="130">
        <v>2000</v>
      </c>
      <c r="B25" s="131" t="s">
        <v>84</v>
      </c>
      <c r="C25" s="132">
        <f aca="true" t="shared" si="5" ref="C25:K25">+SUM(C26:C27)</f>
        <v>0</v>
      </c>
      <c r="D25" s="132">
        <f t="shared" si="5"/>
        <v>2740</v>
      </c>
      <c r="E25" s="132">
        <f t="shared" si="5"/>
        <v>2740</v>
      </c>
      <c r="F25" s="132">
        <f t="shared" si="5"/>
        <v>0</v>
      </c>
      <c r="G25" s="132">
        <f t="shared" si="5"/>
        <v>2131</v>
      </c>
      <c r="H25" s="132">
        <f t="shared" si="5"/>
        <v>2131</v>
      </c>
      <c r="I25" s="132">
        <f t="shared" si="5"/>
        <v>0</v>
      </c>
      <c r="J25" s="132">
        <f t="shared" si="5"/>
        <v>0</v>
      </c>
      <c r="K25" s="132">
        <f t="shared" si="5"/>
        <v>0</v>
      </c>
    </row>
    <row r="26" spans="1:11" ht="12.75">
      <c r="A26" s="127">
        <v>2030</v>
      </c>
      <c r="B26" s="122" t="s">
        <v>85</v>
      </c>
      <c r="C26" s="123">
        <v>0</v>
      </c>
      <c r="D26" s="123">
        <v>22</v>
      </c>
      <c r="E26" s="126">
        <f t="shared" si="4"/>
        <v>22</v>
      </c>
      <c r="F26" s="123">
        <v>0</v>
      </c>
      <c r="G26" s="123">
        <v>26</v>
      </c>
      <c r="H26" s="126">
        <f>+F26+G26</f>
        <v>26</v>
      </c>
      <c r="I26" s="123">
        <v>0</v>
      </c>
      <c r="J26" s="123">
        <v>0</v>
      </c>
      <c r="K26" s="123"/>
    </row>
    <row r="27" spans="1:11" ht="12.75">
      <c r="A27" s="121">
        <v>2040</v>
      </c>
      <c r="B27" s="122" t="s">
        <v>198</v>
      </c>
      <c r="C27" s="123">
        <v>0</v>
      </c>
      <c r="D27" s="123">
        <v>2718</v>
      </c>
      <c r="E27" s="126">
        <f t="shared" si="4"/>
        <v>2718</v>
      </c>
      <c r="F27" s="123">
        <v>0</v>
      </c>
      <c r="G27" s="123">
        <v>2105</v>
      </c>
      <c r="H27" s="126">
        <f>+F27+G27</f>
        <v>2105</v>
      </c>
      <c r="I27" s="123">
        <v>0</v>
      </c>
      <c r="J27" s="123">
        <v>0</v>
      </c>
      <c r="K27" s="123"/>
    </row>
    <row r="28" spans="1:11" ht="18">
      <c r="A28" s="133">
        <v>3000</v>
      </c>
      <c r="B28" s="134" t="s">
        <v>86</v>
      </c>
      <c r="C28" s="135">
        <f>+SUM(C29,C31,C43,C45,C57,C64)</f>
        <v>0</v>
      </c>
      <c r="D28" s="135">
        <f aca="true" t="shared" si="6" ref="D28:K28">+SUM(D29,D31,D43,D45,D57,D64)</f>
        <v>281</v>
      </c>
      <c r="E28" s="135">
        <f t="shared" si="6"/>
        <v>281</v>
      </c>
      <c r="F28" s="135">
        <f t="shared" si="6"/>
        <v>0</v>
      </c>
      <c r="G28" s="135">
        <f t="shared" si="6"/>
        <v>289</v>
      </c>
      <c r="H28" s="135">
        <f t="shared" si="6"/>
        <v>289</v>
      </c>
      <c r="I28" s="135">
        <f t="shared" si="6"/>
        <v>0</v>
      </c>
      <c r="J28" s="135">
        <f t="shared" si="6"/>
        <v>0</v>
      </c>
      <c r="K28" s="135">
        <f t="shared" si="6"/>
        <v>0</v>
      </c>
    </row>
    <row r="29" spans="1:11" ht="15">
      <c r="A29" s="136">
        <v>3100</v>
      </c>
      <c r="B29" s="137" t="s">
        <v>87</v>
      </c>
      <c r="C29" s="138">
        <f>+C30</f>
        <v>0</v>
      </c>
      <c r="D29" s="138">
        <f aca="true" t="shared" si="7" ref="D29:K29">+D30</f>
        <v>0</v>
      </c>
      <c r="E29" s="138">
        <f t="shared" si="7"/>
        <v>0</v>
      </c>
      <c r="F29" s="138">
        <f t="shared" si="7"/>
        <v>0</v>
      </c>
      <c r="G29" s="138">
        <f t="shared" si="7"/>
        <v>0</v>
      </c>
      <c r="H29" s="138">
        <f t="shared" si="7"/>
        <v>0</v>
      </c>
      <c r="I29" s="138">
        <f t="shared" si="7"/>
        <v>0</v>
      </c>
      <c r="J29" s="138">
        <f t="shared" si="7"/>
        <v>0</v>
      </c>
      <c r="K29" s="138">
        <f t="shared" si="7"/>
        <v>0</v>
      </c>
    </row>
    <row r="30" spans="1:11" ht="12.75" customHeight="1">
      <c r="A30" s="139">
        <v>3110</v>
      </c>
      <c r="B30" s="140" t="s">
        <v>88</v>
      </c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ht="15">
      <c r="A31" s="136">
        <v>3200</v>
      </c>
      <c r="B31" s="137" t="s">
        <v>89</v>
      </c>
      <c r="C31" s="138">
        <f>+SUM(C32,C34:C42)</f>
        <v>0</v>
      </c>
      <c r="D31" s="138">
        <f>+SUM(D32,D33,D34:D42)</f>
        <v>20</v>
      </c>
      <c r="E31" s="138">
        <f>+SUM(E32,E33,E34:E42)</f>
        <v>20</v>
      </c>
      <c r="F31" s="138">
        <f>+SUM(F32,F33,F34:F42)</f>
        <v>0</v>
      </c>
      <c r="G31" s="138">
        <f>+SUM(G32,G33,G34:G42)</f>
        <v>20</v>
      </c>
      <c r="H31" s="138">
        <f>+SUM(H32,H33,H34:H42)</f>
        <v>20</v>
      </c>
      <c r="I31" s="138">
        <f>+SUM(I32,I34:I42)</f>
        <v>0</v>
      </c>
      <c r="J31" s="138">
        <f>+SUM(J32,J34:J42)</f>
        <v>0</v>
      </c>
      <c r="K31" s="138">
        <f>+SUM(K32,K34:K42)</f>
        <v>0</v>
      </c>
    </row>
    <row r="32" spans="1:11" ht="12.75">
      <c r="A32" s="139">
        <v>3210</v>
      </c>
      <c r="B32" s="140" t="s">
        <v>199</v>
      </c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 ht="12.75">
      <c r="A33" s="142">
        <v>3211</v>
      </c>
      <c r="B33" s="143" t="s">
        <v>90</v>
      </c>
      <c r="C33" s="144"/>
      <c r="D33" s="144">
        <v>20</v>
      </c>
      <c r="E33" s="126">
        <f>+C33+D33</f>
        <v>20</v>
      </c>
      <c r="F33" s="144"/>
      <c r="G33" s="144">
        <v>20</v>
      </c>
      <c r="H33" s="126">
        <f>+F33+G33</f>
        <v>20</v>
      </c>
      <c r="I33" s="144"/>
      <c r="J33" s="144"/>
      <c r="K33" s="144"/>
    </row>
    <row r="34" spans="1:11" ht="12.75">
      <c r="A34" s="139">
        <v>3220</v>
      </c>
      <c r="B34" s="140" t="s">
        <v>91</v>
      </c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ht="12.75">
      <c r="A35" s="139">
        <v>3230</v>
      </c>
      <c r="B35" s="140" t="s">
        <v>92</v>
      </c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ht="12.75">
      <c r="A36" s="139">
        <v>3240</v>
      </c>
      <c r="B36" s="140" t="s">
        <v>93</v>
      </c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ht="12.75">
      <c r="A37" s="139">
        <v>3250</v>
      </c>
      <c r="B37" s="140" t="s">
        <v>94</v>
      </c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ht="12.75">
      <c r="A38" s="139">
        <v>3260</v>
      </c>
      <c r="B38" s="140" t="s">
        <v>95</v>
      </c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ht="12.75">
      <c r="A39" s="139">
        <v>3270</v>
      </c>
      <c r="B39" s="140" t="s">
        <v>96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ht="12.75">
      <c r="A40" s="139">
        <v>3280</v>
      </c>
      <c r="B40" s="140" t="s">
        <v>97</v>
      </c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ht="12.75">
      <c r="A41" s="139">
        <v>3290</v>
      </c>
      <c r="B41" s="140" t="s">
        <v>98</v>
      </c>
      <c r="C41" s="141"/>
      <c r="D41" s="141"/>
      <c r="E41" s="141"/>
      <c r="F41" s="141"/>
      <c r="G41" s="141"/>
      <c r="H41" s="141"/>
      <c r="I41" s="141"/>
      <c r="J41" s="141"/>
      <c r="K41" s="141"/>
    </row>
    <row r="42" spans="1:11" ht="12.75">
      <c r="A42" s="139">
        <v>3210</v>
      </c>
      <c r="B42" s="140" t="s">
        <v>99</v>
      </c>
      <c r="C42" s="141"/>
      <c r="D42" s="141"/>
      <c r="E42" s="141"/>
      <c r="F42" s="141"/>
      <c r="G42" s="141"/>
      <c r="H42" s="141"/>
      <c r="I42" s="141"/>
      <c r="J42" s="141"/>
      <c r="K42" s="141"/>
    </row>
    <row r="43" spans="1:11" ht="15">
      <c r="A43" s="145">
        <v>3400</v>
      </c>
      <c r="B43" s="146" t="s">
        <v>100</v>
      </c>
      <c r="C43" s="147">
        <f aca="true" t="shared" si="8" ref="C43:H43">+C44</f>
        <v>0</v>
      </c>
      <c r="D43" s="147">
        <f t="shared" si="8"/>
        <v>0</v>
      </c>
      <c r="E43" s="147">
        <f t="shared" si="8"/>
        <v>0</v>
      </c>
      <c r="F43" s="147">
        <f t="shared" si="8"/>
        <v>0</v>
      </c>
      <c r="G43" s="147">
        <f t="shared" si="8"/>
        <v>0</v>
      </c>
      <c r="H43" s="147">
        <f t="shared" si="8"/>
        <v>0</v>
      </c>
      <c r="I43" s="147">
        <f>+I44</f>
        <v>0</v>
      </c>
      <c r="J43" s="147">
        <f>+J44</f>
        <v>0</v>
      </c>
      <c r="K43" s="147">
        <f>+K44</f>
        <v>0</v>
      </c>
    </row>
    <row r="44" spans="1:11" ht="12.75">
      <c r="A44" s="139">
        <v>3410</v>
      </c>
      <c r="B44" s="140" t="s">
        <v>101</v>
      </c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ht="15">
      <c r="A45" s="145">
        <v>3500</v>
      </c>
      <c r="B45" s="146" t="s">
        <v>102</v>
      </c>
      <c r="C45" s="147">
        <f>+C46+C48+C54</f>
        <v>0</v>
      </c>
      <c r="D45" s="147">
        <f aca="true" t="shared" si="9" ref="D45:K45">+D46+D48+D54</f>
        <v>0</v>
      </c>
      <c r="E45" s="147">
        <f t="shared" si="9"/>
        <v>0</v>
      </c>
      <c r="F45" s="147">
        <f t="shared" si="9"/>
        <v>0</v>
      </c>
      <c r="G45" s="147">
        <f t="shared" si="9"/>
        <v>0</v>
      </c>
      <c r="H45" s="147">
        <f t="shared" si="9"/>
        <v>0</v>
      </c>
      <c r="I45" s="147">
        <f t="shared" si="9"/>
        <v>0</v>
      </c>
      <c r="J45" s="147">
        <f t="shared" si="9"/>
        <v>0</v>
      </c>
      <c r="K45" s="147">
        <f t="shared" si="9"/>
        <v>0</v>
      </c>
    </row>
    <row r="46" spans="1:11" ht="12.75">
      <c r="A46" s="121">
        <v>3510</v>
      </c>
      <c r="B46" s="122" t="s">
        <v>103</v>
      </c>
      <c r="C46" s="148">
        <f>+C47</f>
        <v>0</v>
      </c>
      <c r="D46" s="148">
        <f aca="true" t="shared" si="10" ref="D46:K46">+D47</f>
        <v>0</v>
      </c>
      <c r="E46" s="148">
        <f t="shared" si="10"/>
        <v>0</v>
      </c>
      <c r="F46" s="148">
        <f t="shared" si="10"/>
        <v>0</v>
      </c>
      <c r="G46" s="148">
        <f t="shared" si="10"/>
        <v>0</v>
      </c>
      <c r="H46" s="148">
        <f t="shared" si="10"/>
        <v>0</v>
      </c>
      <c r="I46" s="148">
        <f t="shared" si="10"/>
        <v>0</v>
      </c>
      <c r="J46" s="148">
        <f t="shared" si="10"/>
        <v>0</v>
      </c>
      <c r="K46" s="148">
        <f t="shared" si="10"/>
        <v>0</v>
      </c>
    </row>
    <row r="47" spans="1:11" ht="12.75">
      <c r="A47" s="149">
        <v>3511</v>
      </c>
      <c r="B47" s="150" t="s">
        <v>104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1">
        <v>3520</v>
      </c>
      <c r="B48" s="122" t="s">
        <v>105</v>
      </c>
      <c r="C48" s="148">
        <f>+C49</f>
        <v>0</v>
      </c>
      <c r="D48" s="148">
        <f aca="true" t="shared" si="11" ref="D48:K48">+D49</f>
        <v>0</v>
      </c>
      <c r="E48" s="148">
        <f t="shared" si="11"/>
        <v>0</v>
      </c>
      <c r="F48" s="148">
        <f t="shared" si="11"/>
        <v>0</v>
      </c>
      <c r="G48" s="148">
        <f t="shared" si="11"/>
        <v>0</v>
      </c>
      <c r="H48" s="148">
        <f t="shared" si="11"/>
        <v>0</v>
      </c>
      <c r="I48" s="148">
        <f t="shared" si="11"/>
        <v>0</v>
      </c>
      <c r="J48" s="148">
        <f t="shared" si="11"/>
        <v>0</v>
      </c>
      <c r="K48" s="148">
        <f t="shared" si="11"/>
        <v>0</v>
      </c>
    </row>
    <row r="49" spans="1:11" ht="12.75">
      <c r="A49" s="151">
        <v>3521</v>
      </c>
      <c r="B49" s="152" t="s">
        <v>106</v>
      </c>
      <c r="C49" s="153"/>
      <c r="D49" s="153"/>
      <c r="E49" s="153"/>
      <c r="F49" s="153"/>
      <c r="G49" s="153"/>
      <c r="H49" s="153"/>
      <c r="I49" s="153"/>
      <c r="J49" s="153"/>
      <c r="K49" s="153"/>
    </row>
    <row r="50" spans="1:11" ht="12.75">
      <c r="A50" s="154">
        <v>3522</v>
      </c>
      <c r="B50" s="155" t="s">
        <v>107</v>
      </c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25.5">
      <c r="A51" s="154">
        <v>3523</v>
      </c>
      <c r="B51" s="155" t="s">
        <v>200</v>
      </c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25.5">
      <c r="A52" s="154">
        <v>3524</v>
      </c>
      <c r="B52" s="155" t="s">
        <v>201</v>
      </c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25.5">
      <c r="A53" s="154">
        <v>3525</v>
      </c>
      <c r="B53" s="155" t="s">
        <v>202</v>
      </c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12.75">
      <c r="A54" s="121">
        <v>3530</v>
      </c>
      <c r="B54" s="122" t="s">
        <v>108</v>
      </c>
      <c r="C54" s="148">
        <f>+SUM(C55:C56)</f>
        <v>0</v>
      </c>
      <c r="D54" s="148">
        <f aca="true" t="shared" si="12" ref="D54:K54">+SUM(D55:D56)</f>
        <v>0</v>
      </c>
      <c r="E54" s="148">
        <f t="shared" si="12"/>
        <v>0</v>
      </c>
      <c r="F54" s="148">
        <f t="shared" si="12"/>
        <v>0</v>
      </c>
      <c r="G54" s="148">
        <f t="shared" si="12"/>
        <v>0</v>
      </c>
      <c r="H54" s="148">
        <f t="shared" si="12"/>
        <v>0</v>
      </c>
      <c r="I54" s="148">
        <f t="shared" si="12"/>
        <v>0</v>
      </c>
      <c r="J54" s="148">
        <f t="shared" si="12"/>
        <v>0</v>
      </c>
      <c r="K54" s="148">
        <f t="shared" si="12"/>
        <v>0</v>
      </c>
    </row>
    <row r="55" spans="1:11" ht="12.75">
      <c r="A55" s="154">
        <v>3531</v>
      </c>
      <c r="B55" s="155" t="s">
        <v>203</v>
      </c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>
      <c r="A56" s="154">
        <v>3532</v>
      </c>
      <c r="B56" s="155" t="s">
        <v>204</v>
      </c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5">
      <c r="A57" s="145">
        <v>3600</v>
      </c>
      <c r="B57" s="146" t="s">
        <v>109</v>
      </c>
      <c r="C57" s="147">
        <f>+C58+C61</f>
        <v>0</v>
      </c>
      <c r="D57" s="147">
        <f aca="true" t="shared" si="13" ref="D57:K57">+D58+D61</f>
        <v>261</v>
      </c>
      <c r="E57" s="147">
        <f t="shared" si="13"/>
        <v>261</v>
      </c>
      <c r="F57" s="147">
        <f t="shared" si="13"/>
        <v>0</v>
      </c>
      <c r="G57" s="147">
        <f t="shared" si="13"/>
        <v>269</v>
      </c>
      <c r="H57" s="147">
        <f t="shared" si="13"/>
        <v>269</v>
      </c>
      <c r="I57" s="147">
        <f t="shared" si="13"/>
        <v>0</v>
      </c>
      <c r="J57" s="147">
        <f t="shared" si="13"/>
        <v>0</v>
      </c>
      <c r="K57" s="147">
        <f t="shared" si="13"/>
        <v>0</v>
      </c>
    </row>
    <row r="58" spans="1:11" ht="12.75">
      <c r="A58" s="121">
        <v>3610</v>
      </c>
      <c r="B58" s="122" t="s">
        <v>110</v>
      </c>
      <c r="C58" s="148">
        <f>+SUM(C59:C59)</f>
        <v>0</v>
      </c>
      <c r="D58" s="148">
        <f aca="true" t="shared" si="14" ref="D58:K58">+SUM(D59:D59)</f>
        <v>261</v>
      </c>
      <c r="E58" s="148">
        <f t="shared" si="14"/>
        <v>261</v>
      </c>
      <c r="F58" s="148">
        <f t="shared" si="14"/>
        <v>0</v>
      </c>
      <c r="G58" s="148">
        <f t="shared" si="14"/>
        <v>269</v>
      </c>
      <c r="H58" s="148">
        <f t="shared" si="14"/>
        <v>269</v>
      </c>
      <c r="I58" s="148">
        <f t="shared" si="14"/>
        <v>0</v>
      </c>
      <c r="J58" s="148">
        <f t="shared" si="14"/>
        <v>0</v>
      </c>
      <c r="K58" s="148">
        <f t="shared" si="14"/>
        <v>0</v>
      </c>
    </row>
    <row r="59" spans="1:11" ht="12.75">
      <c r="A59" s="156">
        <v>3611</v>
      </c>
      <c r="B59" s="157" t="s">
        <v>110</v>
      </c>
      <c r="C59" s="153"/>
      <c r="D59" s="153">
        <v>261</v>
      </c>
      <c r="E59" s="126">
        <f>+C59+D59</f>
        <v>261</v>
      </c>
      <c r="F59" s="153"/>
      <c r="G59" s="153">
        <v>269</v>
      </c>
      <c r="H59" s="126">
        <f>+F59+G59</f>
        <v>269</v>
      </c>
      <c r="I59" s="153"/>
      <c r="J59" s="153"/>
      <c r="K59" s="153"/>
    </row>
    <row r="60" spans="1:11" ht="12.75">
      <c r="A60" s="127">
        <v>3620</v>
      </c>
      <c r="B60" s="128" t="s">
        <v>111</v>
      </c>
      <c r="C60" s="158"/>
      <c r="D60" s="158"/>
      <c r="E60" s="158"/>
      <c r="F60" s="158"/>
      <c r="G60" s="158"/>
      <c r="H60" s="158"/>
      <c r="I60" s="158"/>
      <c r="J60" s="158"/>
      <c r="K60" s="158"/>
    </row>
    <row r="61" spans="1:11" ht="12.75" customHeight="1">
      <c r="A61" s="127">
        <v>3630</v>
      </c>
      <c r="B61" s="128" t="s">
        <v>112</v>
      </c>
      <c r="C61" s="158">
        <f>+C63</f>
        <v>0</v>
      </c>
      <c r="D61" s="158">
        <f aca="true" t="shared" si="15" ref="D61:K61">+D63</f>
        <v>0</v>
      </c>
      <c r="E61" s="158">
        <f t="shared" si="15"/>
        <v>0</v>
      </c>
      <c r="F61" s="158">
        <f t="shared" si="15"/>
        <v>0</v>
      </c>
      <c r="G61" s="158">
        <f t="shared" si="15"/>
        <v>0</v>
      </c>
      <c r="H61" s="158">
        <f t="shared" si="15"/>
        <v>0</v>
      </c>
      <c r="I61" s="158">
        <f t="shared" si="15"/>
        <v>0</v>
      </c>
      <c r="J61" s="158">
        <f t="shared" si="15"/>
        <v>0</v>
      </c>
      <c r="K61" s="158">
        <f t="shared" si="15"/>
        <v>0</v>
      </c>
    </row>
    <row r="62" spans="1:11" ht="12.75">
      <c r="A62" s="156">
        <v>3631</v>
      </c>
      <c r="B62" s="157" t="s">
        <v>113</v>
      </c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2.75">
      <c r="A63" s="149">
        <v>3632</v>
      </c>
      <c r="B63" s="150" t="s">
        <v>114</v>
      </c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5">
      <c r="A64" s="145">
        <v>3700</v>
      </c>
      <c r="B64" s="146" t="s">
        <v>205</v>
      </c>
      <c r="C64" s="147">
        <f>+C65+C67+C69+C71+C76</f>
        <v>0</v>
      </c>
      <c r="D64" s="147">
        <f aca="true" t="shared" si="16" ref="D64:K64">+D65+D67+D69+D71+D76</f>
        <v>0</v>
      </c>
      <c r="E64" s="147">
        <f t="shared" si="16"/>
        <v>0</v>
      </c>
      <c r="F64" s="147">
        <f t="shared" si="16"/>
        <v>0</v>
      </c>
      <c r="G64" s="147">
        <f t="shared" si="16"/>
        <v>0</v>
      </c>
      <c r="H64" s="147">
        <f t="shared" si="16"/>
        <v>0</v>
      </c>
      <c r="I64" s="147">
        <f t="shared" si="16"/>
        <v>0</v>
      </c>
      <c r="J64" s="147">
        <f t="shared" si="16"/>
        <v>0</v>
      </c>
      <c r="K64" s="147">
        <f t="shared" si="16"/>
        <v>0</v>
      </c>
    </row>
    <row r="65" spans="1:11" ht="12.75" customHeight="1">
      <c r="A65" s="127">
        <v>3710</v>
      </c>
      <c r="B65" s="128" t="s">
        <v>206</v>
      </c>
      <c r="C65" s="158">
        <f>SUM(C66)</f>
        <v>0</v>
      </c>
      <c r="D65" s="158">
        <f aca="true" t="shared" si="17" ref="D65:K65">SUM(D66)</f>
        <v>0</v>
      </c>
      <c r="E65" s="158">
        <f t="shared" si="17"/>
        <v>0</v>
      </c>
      <c r="F65" s="158">
        <f t="shared" si="17"/>
        <v>0</v>
      </c>
      <c r="G65" s="158">
        <f t="shared" si="17"/>
        <v>0</v>
      </c>
      <c r="H65" s="158">
        <f t="shared" si="17"/>
        <v>0</v>
      </c>
      <c r="I65" s="158">
        <f t="shared" si="17"/>
        <v>0</v>
      </c>
      <c r="J65" s="158">
        <f t="shared" si="17"/>
        <v>0</v>
      </c>
      <c r="K65" s="158">
        <f t="shared" si="17"/>
        <v>0</v>
      </c>
    </row>
    <row r="66" spans="1:11" ht="25.5">
      <c r="A66" s="149">
        <v>3711</v>
      </c>
      <c r="B66" s="150" t="s">
        <v>275</v>
      </c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2.75" customHeight="1">
      <c r="A67" s="127">
        <v>3720</v>
      </c>
      <c r="B67" s="128" t="s">
        <v>207</v>
      </c>
      <c r="C67" s="158">
        <f aca="true" t="shared" si="18" ref="C67:K67">SUM(C68)</f>
        <v>0</v>
      </c>
      <c r="D67" s="158">
        <f t="shared" si="18"/>
        <v>0</v>
      </c>
      <c r="E67" s="158">
        <f t="shared" si="18"/>
        <v>0</v>
      </c>
      <c r="F67" s="158">
        <f t="shared" si="18"/>
        <v>0</v>
      </c>
      <c r="G67" s="158">
        <f t="shared" si="18"/>
        <v>0</v>
      </c>
      <c r="H67" s="158">
        <f t="shared" si="18"/>
        <v>0</v>
      </c>
      <c r="I67" s="158">
        <f t="shared" si="18"/>
        <v>0</v>
      </c>
      <c r="J67" s="158">
        <f t="shared" si="18"/>
        <v>0</v>
      </c>
      <c r="K67" s="158">
        <f t="shared" si="18"/>
        <v>0</v>
      </c>
    </row>
    <row r="68" spans="1:11" ht="25.5">
      <c r="A68" s="149">
        <v>3721</v>
      </c>
      <c r="B68" s="150" t="s">
        <v>276</v>
      </c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ht="12.75" customHeight="1">
      <c r="A69" s="127">
        <v>3730</v>
      </c>
      <c r="B69" s="128" t="s">
        <v>208</v>
      </c>
      <c r="C69" s="158">
        <f aca="true" t="shared" si="19" ref="C69:K69">SUM(C70)</f>
        <v>0</v>
      </c>
      <c r="D69" s="158">
        <f t="shared" si="19"/>
        <v>0</v>
      </c>
      <c r="E69" s="158">
        <f t="shared" si="19"/>
        <v>0</v>
      </c>
      <c r="F69" s="158">
        <f t="shared" si="19"/>
        <v>0</v>
      </c>
      <c r="G69" s="158">
        <f t="shared" si="19"/>
        <v>0</v>
      </c>
      <c r="H69" s="158">
        <f t="shared" si="19"/>
        <v>0</v>
      </c>
      <c r="I69" s="158">
        <f t="shared" si="19"/>
        <v>0</v>
      </c>
      <c r="J69" s="158">
        <f t="shared" si="19"/>
        <v>0</v>
      </c>
      <c r="K69" s="158">
        <f t="shared" si="19"/>
        <v>0</v>
      </c>
    </row>
    <row r="70" spans="1:11" ht="25.5">
      <c r="A70" s="149">
        <v>3731</v>
      </c>
      <c r="B70" s="150" t="s">
        <v>277</v>
      </c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2.75" customHeight="1">
      <c r="A71" s="127">
        <v>3740</v>
      </c>
      <c r="B71" s="128" t="s">
        <v>209</v>
      </c>
      <c r="C71" s="158">
        <f>SUM(C72:C75)</f>
        <v>0</v>
      </c>
      <c r="D71" s="158">
        <f aca="true" t="shared" si="20" ref="D71:K71">SUM(D72:D75)</f>
        <v>0</v>
      </c>
      <c r="E71" s="158">
        <f t="shared" si="20"/>
        <v>0</v>
      </c>
      <c r="F71" s="158">
        <f t="shared" si="20"/>
        <v>0</v>
      </c>
      <c r="G71" s="158">
        <f t="shared" si="20"/>
        <v>0</v>
      </c>
      <c r="H71" s="158">
        <f t="shared" si="20"/>
        <v>0</v>
      </c>
      <c r="I71" s="158">
        <f t="shared" si="20"/>
        <v>0</v>
      </c>
      <c r="J71" s="158">
        <f t="shared" si="20"/>
        <v>0</v>
      </c>
      <c r="K71" s="158">
        <f t="shared" si="20"/>
        <v>0</v>
      </c>
    </row>
    <row r="72" spans="1:11" ht="25.5">
      <c r="A72" s="149">
        <v>3741</v>
      </c>
      <c r="B72" s="150" t="s">
        <v>210</v>
      </c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25.5">
      <c r="A73" s="149">
        <v>3742</v>
      </c>
      <c r="B73" s="150" t="s">
        <v>211</v>
      </c>
      <c r="C73" s="123"/>
      <c r="D73" s="123"/>
      <c r="E73" s="123"/>
      <c r="F73" s="123"/>
      <c r="G73" s="123"/>
      <c r="H73" s="123"/>
      <c r="I73" s="123"/>
      <c r="J73" s="123"/>
      <c r="K73" s="123"/>
    </row>
    <row r="74" spans="1:11" ht="25.5">
      <c r="A74" s="149">
        <v>3743</v>
      </c>
      <c r="B74" s="150" t="s">
        <v>212</v>
      </c>
      <c r="C74" s="123"/>
      <c r="D74" s="123"/>
      <c r="E74" s="123"/>
      <c r="F74" s="123"/>
      <c r="G74" s="123"/>
      <c r="H74" s="123"/>
      <c r="I74" s="123"/>
      <c r="J74" s="123"/>
      <c r="K74" s="123"/>
    </row>
    <row r="75" spans="1:11" ht="25.5">
      <c r="A75" s="149">
        <v>3744</v>
      </c>
      <c r="B75" s="150" t="s">
        <v>213</v>
      </c>
      <c r="C75" s="123"/>
      <c r="D75" s="123"/>
      <c r="E75" s="123"/>
      <c r="F75" s="123"/>
      <c r="G75" s="123"/>
      <c r="H75" s="123"/>
      <c r="I75" s="123"/>
      <c r="J75" s="123"/>
      <c r="K75" s="123"/>
    </row>
    <row r="76" spans="1:11" ht="12.75">
      <c r="A76" s="127">
        <v>3750</v>
      </c>
      <c r="B76" s="128" t="s">
        <v>274</v>
      </c>
      <c r="C76" s="158">
        <f>SUM(C77:C80)</f>
        <v>0</v>
      </c>
      <c r="D76" s="158">
        <f aca="true" t="shared" si="21" ref="D76:K76">SUM(D77:D80)</f>
        <v>0</v>
      </c>
      <c r="E76" s="158">
        <f t="shared" si="21"/>
        <v>0</v>
      </c>
      <c r="F76" s="158">
        <f t="shared" si="21"/>
        <v>0</v>
      </c>
      <c r="G76" s="158">
        <f t="shared" si="21"/>
        <v>0</v>
      </c>
      <c r="H76" s="158">
        <f t="shared" si="21"/>
        <v>0</v>
      </c>
      <c r="I76" s="158">
        <f t="shared" si="21"/>
        <v>0</v>
      </c>
      <c r="J76" s="158">
        <f t="shared" si="21"/>
        <v>0</v>
      </c>
      <c r="K76" s="158">
        <f t="shared" si="21"/>
        <v>0</v>
      </c>
    </row>
    <row r="77" spans="1:11" ht="25.5">
      <c r="A77" s="149">
        <v>3751</v>
      </c>
      <c r="B77" s="150" t="s">
        <v>268</v>
      </c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ht="18">
      <c r="A78" s="133">
        <v>4000</v>
      </c>
      <c r="B78" s="134" t="s">
        <v>115</v>
      </c>
      <c r="C78" s="159">
        <f>+C79</f>
        <v>0</v>
      </c>
      <c r="D78" s="159">
        <f aca="true" t="shared" si="22" ref="D78:K78">+D79</f>
        <v>0</v>
      </c>
      <c r="E78" s="159">
        <f t="shared" si="22"/>
        <v>0</v>
      </c>
      <c r="F78" s="159">
        <f t="shared" si="22"/>
        <v>0</v>
      </c>
      <c r="G78" s="159">
        <f t="shared" si="22"/>
        <v>0</v>
      </c>
      <c r="H78" s="159">
        <f t="shared" si="22"/>
        <v>0</v>
      </c>
      <c r="I78" s="159">
        <f t="shared" si="22"/>
        <v>0</v>
      </c>
      <c r="J78" s="159">
        <f t="shared" si="22"/>
        <v>0</v>
      </c>
      <c r="K78" s="159">
        <f t="shared" si="22"/>
        <v>0</v>
      </c>
    </row>
    <row r="79" spans="1:11" ht="15">
      <c r="A79" s="136">
        <v>4200</v>
      </c>
      <c r="B79" s="137" t="s">
        <v>116</v>
      </c>
      <c r="C79" s="160">
        <f>+C80</f>
        <v>0</v>
      </c>
      <c r="D79" s="160">
        <f aca="true" t="shared" si="23" ref="D79:K79">+D80</f>
        <v>0</v>
      </c>
      <c r="E79" s="160">
        <f t="shared" si="23"/>
        <v>0</v>
      </c>
      <c r="F79" s="160">
        <f t="shared" si="23"/>
        <v>0</v>
      </c>
      <c r="G79" s="160">
        <f t="shared" si="23"/>
        <v>0</v>
      </c>
      <c r="H79" s="160">
        <f t="shared" si="23"/>
        <v>0</v>
      </c>
      <c r="I79" s="160">
        <f t="shared" si="23"/>
        <v>0</v>
      </c>
      <c r="J79" s="160">
        <f t="shared" si="23"/>
        <v>0</v>
      </c>
      <c r="K79" s="160">
        <f t="shared" si="23"/>
        <v>0</v>
      </c>
    </row>
    <row r="80" spans="1:11" ht="12.75" customHeight="1">
      <c r="A80" s="127">
        <v>4210</v>
      </c>
      <c r="B80" s="137" t="s">
        <v>117</v>
      </c>
      <c r="C80" s="158"/>
      <c r="D80" s="158"/>
      <c r="E80" s="158"/>
      <c r="F80" s="158"/>
      <c r="G80" s="158"/>
      <c r="H80" s="158"/>
      <c r="I80" s="158"/>
      <c r="J80" s="158"/>
      <c r="K80" s="158"/>
    </row>
    <row r="81" spans="1:11" ht="18">
      <c r="A81" s="133">
        <v>5000</v>
      </c>
      <c r="B81" s="134" t="s">
        <v>118</v>
      </c>
      <c r="C81" s="161">
        <f>+C82</f>
        <v>0</v>
      </c>
      <c r="D81" s="161">
        <f aca="true" t="shared" si="24" ref="D81:K81">+D82</f>
        <v>0</v>
      </c>
      <c r="E81" s="161">
        <f t="shared" si="24"/>
        <v>0</v>
      </c>
      <c r="F81" s="161">
        <f t="shared" si="24"/>
        <v>0</v>
      </c>
      <c r="G81" s="161">
        <f t="shared" si="24"/>
        <v>0</v>
      </c>
      <c r="H81" s="161">
        <f t="shared" si="24"/>
        <v>0</v>
      </c>
      <c r="I81" s="161">
        <f t="shared" si="24"/>
        <v>0</v>
      </c>
      <c r="J81" s="161">
        <f t="shared" si="24"/>
        <v>0</v>
      </c>
      <c r="K81" s="161">
        <f t="shared" si="24"/>
        <v>0</v>
      </c>
    </row>
    <row r="82" spans="1:11" ht="15">
      <c r="A82" s="145">
        <v>5100</v>
      </c>
      <c r="B82" s="146" t="s">
        <v>119</v>
      </c>
      <c r="C82" s="141">
        <f>SUM(C83:C84)</f>
        <v>0</v>
      </c>
      <c r="D82" s="141">
        <f aca="true" t="shared" si="25" ref="D82:K82">SUM(D83:D84)</f>
        <v>0</v>
      </c>
      <c r="E82" s="141">
        <f t="shared" si="25"/>
        <v>0</v>
      </c>
      <c r="F82" s="141">
        <f t="shared" si="25"/>
        <v>0</v>
      </c>
      <c r="G82" s="141">
        <f t="shared" si="25"/>
        <v>0</v>
      </c>
      <c r="H82" s="141">
        <f t="shared" si="25"/>
        <v>0</v>
      </c>
      <c r="I82" s="141">
        <f t="shared" si="25"/>
        <v>0</v>
      </c>
      <c r="J82" s="141">
        <f t="shared" si="25"/>
        <v>0</v>
      </c>
      <c r="K82" s="141">
        <f t="shared" si="25"/>
        <v>0</v>
      </c>
    </row>
    <row r="83" spans="1:11" ht="12.75">
      <c r="A83" s="127">
        <v>5110</v>
      </c>
      <c r="B83" s="128" t="s">
        <v>214</v>
      </c>
      <c r="C83" s="129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27">
        <v>5120</v>
      </c>
      <c r="B84" s="128" t="s">
        <v>215</v>
      </c>
      <c r="C84" s="129"/>
      <c r="D84" s="129"/>
      <c r="E84" s="129"/>
      <c r="F84" s="129"/>
      <c r="G84" s="129"/>
      <c r="H84" s="129"/>
      <c r="I84" s="129"/>
      <c r="J84" s="129"/>
      <c r="K84" s="129"/>
    </row>
    <row r="85" spans="1:11" ht="15">
      <c r="A85" s="145">
        <v>5200</v>
      </c>
      <c r="B85" s="146" t="s">
        <v>120</v>
      </c>
      <c r="C85" s="141">
        <f>SUM(C86:C87)</f>
        <v>0</v>
      </c>
      <c r="D85" s="141">
        <f aca="true" t="shared" si="26" ref="D85:K85">SUM(D86:D87)</f>
        <v>0</v>
      </c>
      <c r="E85" s="141">
        <f t="shared" si="26"/>
        <v>0</v>
      </c>
      <c r="F85" s="141">
        <f t="shared" si="26"/>
        <v>0</v>
      </c>
      <c r="G85" s="141">
        <f t="shared" si="26"/>
        <v>0</v>
      </c>
      <c r="H85" s="141">
        <f t="shared" si="26"/>
        <v>0</v>
      </c>
      <c r="I85" s="141">
        <f t="shared" si="26"/>
        <v>0</v>
      </c>
      <c r="J85" s="141">
        <f t="shared" si="26"/>
        <v>0</v>
      </c>
      <c r="K85" s="141">
        <f t="shared" si="26"/>
        <v>0</v>
      </c>
    </row>
    <row r="86" spans="1:11" ht="12.75">
      <c r="A86" s="127">
        <v>5210</v>
      </c>
      <c r="B86" s="128" t="s">
        <v>121</v>
      </c>
      <c r="C86" s="162"/>
      <c r="D86" s="162"/>
      <c r="E86" s="162"/>
      <c r="F86" s="162"/>
      <c r="G86" s="162"/>
      <c r="H86" s="162"/>
      <c r="I86" s="162"/>
      <c r="J86" s="162"/>
      <c r="K86" s="162"/>
    </row>
    <row r="87" spans="1:11" ht="12.75">
      <c r="A87" s="127">
        <v>5220</v>
      </c>
      <c r="B87" s="128" t="s">
        <v>215</v>
      </c>
      <c r="C87" s="129"/>
      <c r="D87" s="129"/>
      <c r="E87" s="129"/>
      <c r="F87" s="129"/>
      <c r="G87" s="129"/>
      <c r="H87" s="129"/>
      <c r="I87" s="129"/>
      <c r="J87" s="129"/>
      <c r="K87" s="129"/>
    </row>
    <row r="88" spans="1:11" ht="15">
      <c r="A88" s="145">
        <v>5300</v>
      </c>
      <c r="B88" s="146" t="s">
        <v>122</v>
      </c>
      <c r="C88" s="141">
        <f>SUM(C89:C90)</f>
        <v>0</v>
      </c>
      <c r="D88" s="141">
        <f aca="true" t="shared" si="27" ref="D88:K88">SUM(D89:D90)</f>
        <v>0</v>
      </c>
      <c r="E88" s="141">
        <f t="shared" si="27"/>
        <v>0</v>
      </c>
      <c r="F88" s="141">
        <f t="shared" si="27"/>
        <v>0</v>
      </c>
      <c r="G88" s="141">
        <f t="shared" si="27"/>
        <v>0</v>
      </c>
      <c r="H88" s="141">
        <f t="shared" si="27"/>
        <v>0</v>
      </c>
      <c r="I88" s="141">
        <f t="shared" si="27"/>
        <v>0</v>
      </c>
      <c r="J88" s="141">
        <f t="shared" si="27"/>
        <v>0</v>
      </c>
      <c r="K88" s="141">
        <f t="shared" si="27"/>
        <v>0</v>
      </c>
    </row>
    <row r="89" spans="1:11" ht="12.75">
      <c r="A89" s="127">
        <v>5310</v>
      </c>
      <c r="B89" s="128" t="s">
        <v>121</v>
      </c>
      <c r="C89" s="162"/>
      <c r="D89" s="162"/>
      <c r="E89" s="162"/>
      <c r="F89" s="162"/>
      <c r="G89" s="162"/>
      <c r="H89" s="162"/>
      <c r="I89" s="162"/>
      <c r="J89" s="162"/>
      <c r="K89" s="162"/>
    </row>
    <row r="90" spans="1:11" ht="12.75">
      <c r="A90" s="127">
        <v>5320</v>
      </c>
      <c r="B90" s="128" t="s">
        <v>215</v>
      </c>
      <c r="C90" s="129"/>
      <c r="D90" s="129"/>
      <c r="E90" s="129"/>
      <c r="F90" s="129"/>
      <c r="G90" s="129"/>
      <c r="H90" s="129"/>
      <c r="I90" s="129"/>
      <c r="J90" s="129"/>
      <c r="K90" s="129"/>
    </row>
    <row r="91" spans="1:11" ht="21" thickBot="1">
      <c r="A91" s="163" t="s">
        <v>123</v>
      </c>
      <c r="B91" s="164" t="s">
        <v>307</v>
      </c>
      <c r="C91" s="165">
        <f>+C109+C92</f>
        <v>0</v>
      </c>
      <c r="D91" s="165">
        <f aca="true" t="shared" si="28" ref="D91:K91">+D109+D92</f>
        <v>0</v>
      </c>
      <c r="E91" s="165">
        <f t="shared" si="28"/>
        <v>0</v>
      </c>
      <c r="F91" s="165">
        <f t="shared" si="28"/>
        <v>0</v>
      </c>
      <c r="G91" s="165">
        <f t="shared" si="28"/>
        <v>0</v>
      </c>
      <c r="H91" s="165">
        <f t="shared" si="28"/>
        <v>0</v>
      </c>
      <c r="I91" s="165">
        <f t="shared" si="28"/>
        <v>0</v>
      </c>
      <c r="J91" s="165">
        <f t="shared" si="28"/>
        <v>0</v>
      </c>
      <c r="K91" s="165">
        <f t="shared" si="28"/>
        <v>0</v>
      </c>
    </row>
    <row r="92" spans="1:11" ht="18">
      <c r="A92" s="166">
        <v>6000</v>
      </c>
      <c r="B92" s="167" t="s">
        <v>124</v>
      </c>
      <c r="C92" s="168">
        <f>+C93+C101</f>
        <v>0</v>
      </c>
      <c r="D92" s="168">
        <f aca="true" t="shared" si="29" ref="D92:K92">+D93+D101</f>
        <v>0</v>
      </c>
      <c r="E92" s="168">
        <f t="shared" si="29"/>
        <v>0</v>
      </c>
      <c r="F92" s="168">
        <f t="shared" si="29"/>
        <v>0</v>
      </c>
      <c r="G92" s="168">
        <f t="shared" si="29"/>
        <v>0</v>
      </c>
      <c r="H92" s="168">
        <f t="shared" si="29"/>
        <v>0</v>
      </c>
      <c r="I92" s="168">
        <f t="shared" si="29"/>
        <v>0</v>
      </c>
      <c r="J92" s="168">
        <f t="shared" si="29"/>
        <v>0</v>
      </c>
      <c r="K92" s="168">
        <f t="shared" si="29"/>
        <v>0</v>
      </c>
    </row>
    <row r="93" spans="1:11" ht="15">
      <c r="A93" s="145">
        <v>6100</v>
      </c>
      <c r="B93" s="146" t="s">
        <v>125</v>
      </c>
      <c r="C93" s="141">
        <f>+SUM(C94:C100)</f>
        <v>0</v>
      </c>
      <c r="D93" s="141">
        <f aca="true" t="shared" si="30" ref="D93:K93">+SUM(D94:D100)</f>
        <v>0</v>
      </c>
      <c r="E93" s="141">
        <f t="shared" si="30"/>
        <v>0</v>
      </c>
      <c r="F93" s="141">
        <f t="shared" si="30"/>
        <v>0</v>
      </c>
      <c r="G93" s="141">
        <f t="shared" si="30"/>
        <v>0</v>
      </c>
      <c r="H93" s="141">
        <f t="shared" si="30"/>
        <v>0</v>
      </c>
      <c r="I93" s="141">
        <f t="shared" si="30"/>
        <v>0</v>
      </c>
      <c r="J93" s="141">
        <f t="shared" si="30"/>
        <v>0</v>
      </c>
      <c r="K93" s="141">
        <f t="shared" si="30"/>
        <v>0</v>
      </c>
    </row>
    <row r="94" spans="1:11" ht="12.75">
      <c r="A94" s="127">
        <v>6110</v>
      </c>
      <c r="B94" s="128" t="s">
        <v>126</v>
      </c>
      <c r="C94" s="129"/>
      <c r="D94" s="129"/>
      <c r="E94" s="129"/>
      <c r="F94" s="129"/>
      <c r="G94" s="129"/>
      <c r="H94" s="129"/>
      <c r="I94" s="129"/>
      <c r="J94" s="129"/>
      <c r="K94" s="129"/>
    </row>
    <row r="95" spans="1:11" ht="12.75">
      <c r="A95" s="127">
        <v>6120</v>
      </c>
      <c r="B95" s="128" t="s">
        <v>127</v>
      </c>
      <c r="C95" s="129"/>
      <c r="D95" s="129"/>
      <c r="E95" s="129"/>
      <c r="F95" s="129"/>
      <c r="G95" s="129"/>
      <c r="H95" s="129"/>
      <c r="I95" s="129"/>
      <c r="J95" s="129"/>
      <c r="K95" s="129"/>
    </row>
    <row r="96" spans="1:11" ht="12.75">
      <c r="A96" s="127">
        <v>6130</v>
      </c>
      <c r="B96" s="128" t="s">
        <v>128</v>
      </c>
      <c r="C96" s="129"/>
      <c r="D96" s="129"/>
      <c r="E96" s="129"/>
      <c r="F96" s="129"/>
      <c r="G96" s="129"/>
      <c r="H96" s="129"/>
      <c r="I96" s="129"/>
      <c r="J96" s="129"/>
      <c r="K96" s="129"/>
    </row>
    <row r="97" spans="1:11" ht="12.75">
      <c r="A97" s="127">
        <v>6140</v>
      </c>
      <c r="B97" s="128" t="s">
        <v>129</v>
      </c>
      <c r="C97" s="129"/>
      <c r="D97" s="129"/>
      <c r="E97" s="129"/>
      <c r="F97" s="129"/>
      <c r="G97" s="129"/>
      <c r="H97" s="129"/>
      <c r="I97" s="129"/>
      <c r="J97" s="129"/>
      <c r="K97" s="129"/>
    </row>
    <row r="98" spans="1:11" ht="12.75">
      <c r="A98" s="127">
        <v>6150</v>
      </c>
      <c r="B98" s="128" t="s">
        <v>130</v>
      </c>
      <c r="C98" s="129"/>
      <c r="D98" s="129"/>
      <c r="E98" s="129"/>
      <c r="F98" s="129"/>
      <c r="G98" s="129"/>
      <c r="H98" s="129"/>
      <c r="I98" s="129"/>
      <c r="J98" s="129"/>
      <c r="K98" s="129"/>
    </row>
    <row r="99" spans="1:11" ht="12.75">
      <c r="A99" s="127">
        <v>6160</v>
      </c>
      <c r="B99" s="128" t="s">
        <v>131</v>
      </c>
      <c r="C99" s="129"/>
      <c r="D99" s="129"/>
      <c r="E99" s="129"/>
      <c r="F99" s="129"/>
      <c r="G99" s="129"/>
      <c r="H99" s="129"/>
      <c r="I99" s="129"/>
      <c r="J99" s="129"/>
      <c r="K99" s="129"/>
    </row>
    <row r="100" spans="1:11" ht="12.75">
      <c r="A100" s="127">
        <v>6170</v>
      </c>
      <c r="B100" s="128" t="s">
        <v>132</v>
      </c>
      <c r="C100" s="129"/>
      <c r="D100" s="129"/>
      <c r="E100" s="129"/>
      <c r="F100" s="129"/>
      <c r="G100" s="129"/>
      <c r="H100" s="129"/>
      <c r="I100" s="129"/>
      <c r="J100" s="129"/>
      <c r="K100" s="129"/>
    </row>
    <row r="101" spans="1:11" ht="15">
      <c r="A101" s="145">
        <v>6200</v>
      </c>
      <c r="B101" s="146" t="s">
        <v>133</v>
      </c>
      <c r="C101" s="141">
        <f>+SUM(C102:C108)</f>
        <v>0</v>
      </c>
      <c r="D101" s="141">
        <f aca="true" t="shared" si="31" ref="D101:K101">+SUM(D102:D108)</f>
        <v>0</v>
      </c>
      <c r="E101" s="141">
        <f t="shared" si="31"/>
        <v>0</v>
      </c>
      <c r="F101" s="141">
        <f t="shared" si="31"/>
        <v>0</v>
      </c>
      <c r="G101" s="141">
        <f t="shared" si="31"/>
        <v>0</v>
      </c>
      <c r="H101" s="141">
        <f t="shared" si="31"/>
        <v>0</v>
      </c>
      <c r="I101" s="141">
        <f t="shared" si="31"/>
        <v>0</v>
      </c>
      <c r="J101" s="141">
        <f t="shared" si="31"/>
        <v>0</v>
      </c>
      <c r="K101" s="141">
        <f t="shared" si="31"/>
        <v>0</v>
      </c>
    </row>
    <row r="102" spans="1:11" ht="12.75">
      <c r="A102" s="127">
        <v>6210</v>
      </c>
      <c r="B102" s="128" t="s">
        <v>126</v>
      </c>
      <c r="C102" s="129"/>
      <c r="D102" s="129"/>
      <c r="E102" s="129"/>
      <c r="F102" s="129"/>
      <c r="G102" s="129"/>
      <c r="H102" s="129"/>
      <c r="I102" s="129"/>
      <c r="J102" s="129"/>
      <c r="K102" s="129"/>
    </row>
    <row r="103" spans="1:11" ht="12.75">
      <c r="A103" s="127">
        <v>6220</v>
      </c>
      <c r="B103" s="128" t="s">
        <v>127</v>
      </c>
      <c r="C103" s="129"/>
      <c r="D103" s="129"/>
      <c r="E103" s="129"/>
      <c r="F103" s="129"/>
      <c r="G103" s="129"/>
      <c r="H103" s="129"/>
      <c r="I103" s="129"/>
      <c r="J103" s="129"/>
      <c r="K103" s="129"/>
    </row>
    <row r="104" spans="1:11" ht="12.75">
      <c r="A104" s="127">
        <v>6230</v>
      </c>
      <c r="B104" s="128" t="s">
        <v>128</v>
      </c>
      <c r="C104" s="129"/>
      <c r="D104" s="129"/>
      <c r="E104" s="129"/>
      <c r="F104" s="129"/>
      <c r="G104" s="129"/>
      <c r="H104" s="129"/>
      <c r="I104" s="129"/>
      <c r="J104" s="129"/>
      <c r="K104" s="129"/>
    </row>
    <row r="105" spans="1:11" ht="12.75">
      <c r="A105" s="127">
        <v>6240</v>
      </c>
      <c r="B105" s="128" t="s">
        <v>129</v>
      </c>
      <c r="C105" s="129"/>
      <c r="D105" s="129"/>
      <c r="E105" s="129"/>
      <c r="F105" s="129"/>
      <c r="G105" s="129"/>
      <c r="H105" s="129"/>
      <c r="I105" s="129"/>
      <c r="J105" s="129"/>
      <c r="K105" s="129"/>
    </row>
    <row r="106" spans="1:11" ht="12.75">
      <c r="A106" s="127">
        <v>6250</v>
      </c>
      <c r="B106" s="128" t="s">
        <v>130</v>
      </c>
      <c r="C106" s="129"/>
      <c r="D106" s="129"/>
      <c r="E106" s="129"/>
      <c r="F106" s="129"/>
      <c r="G106" s="129"/>
      <c r="H106" s="129"/>
      <c r="I106" s="129"/>
      <c r="J106" s="129"/>
      <c r="K106" s="129"/>
    </row>
    <row r="107" spans="1:11" ht="12.75">
      <c r="A107" s="127">
        <v>6260</v>
      </c>
      <c r="B107" s="128" t="s">
        <v>131</v>
      </c>
      <c r="C107" s="129"/>
      <c r="D107" s="129"/>
      <c r="E107" s="129"/>
      <c r="F107" s="129"/>
      <c r="G107" s="129"/>
      <c r="H107" s="129"/>
      <c r="I107" s="129"/>
      <c r="J107" s="129"/>
      <c r="K107" s="129"/>
    </row>
    <row r="108" spans="1:11" ht="12.75">
      <c r="A108" s="127">
        <v>6270</v>
      </c>
      <c r="B108" s="128" t="s">
        <v>134</v>
      </c>
      <c r="C108" s="129"/>
      <c r="D108" s="129"/>
      <c r="E108" s="129"/>
      <c r="F108" s="129"/>
      <c r="G108" s="129"/>
      <c r="H108" s="129"/>
      <c r="I108" s="129"/>
      <c r="J108" s="129"/>
      <c r="K108" s="129"/>
    </row>
    <row r="109" spans="1:11" ht="18">
      <c r="A109" s="166">
        <v>7000</v>
      </c>
      <c r="B109" s="167" t="s">
        <v>135</v>
      </c>
      <c r="C109" s="168">
        <f>+C110+C117</f>
        <v>0</v>
      </c>
      <c r="D109" s="168">
        <f aca="true" t="shared" si="32" ref="D109:K109">+D110+D117</f>
        <v>0</v>
      </c>
      <c r="E109" s="168">
        <f t="shared" si="32"/>
        <v>0</v>
      </c>
      <c r="F109" s="168">
        <f t="shared" si="32"/>
        <v>0</v>
      </c>
      <c r="G109" s="168">
        <f t="shared" si="32"/>
        <v>0</v>
      </c>
      <c r="H109" s="168">
        <f t="shared" si="32"/>
        <v>0</v>
      </c>
      <c r="I109" s="168">
        <f t="shared" si="32"/>
        <v>0</v>
      </c>
      <c r="J109" s="168">
        <f t="shared" si="32"/>
        <v>0</v>
      </c>
      <c r="K109" s="168">
        <f t="shared" si="32"/>
        <v>0</v>
      </c>
    </row>
    <row r="110" spans="1:11" ht="15">
      <c r="A110" s="145">
        <v>7100</v>
      </c>
      <c r="B110" s="146" t="s">
        <v>125</v>
      </c>
      <c r="C110" s="141">
        <f>+SUM(C111:C116)</f>
        <v>0</v>
      </c>
      <c r="D110" s="141">
        <f aca="true" t="shared" si="33" ref="D110:K110">+SUM(D111:D116)</f>
        <v>0</v>
      </c>
      <c r="E110" s="141">
        <f t="shared" si="33"/>
        <v>0</v>
      </c>
      <c r="F110" s="141">
        <f t="shared" si="33"/>
        <v>0</v>
      </c>
      <c r="G110" s="141">
        <f t="shared" si="33"/>
        <v>0</v>
      </c>
      <c r="H110" s="141">
        <f t="shared" si="33"/>
        <v>0</v>
      </c>
      <c r="I110" s="141">
        <f t="shared" si="33"/>
        <v>0</v>
      </c>
      <c r="J110" s="141">
        <f t="shared" si="33"/>
        <v>0</v>
      </c>
      <c r="K110" s="141">
        <f t="shared" si="33"/>
        <v>0</v>
      </c>
    </row>
    <row r="111" spans="1:11" ht="12.75">
      <c r="A111" s="127">
        <v>7110</v>
      </c>
      <c r="B111" s="128" t="s">
        <v>75</v>
      </c>
      <c r="C111" s="129"/>
      <c r="D111" s="129"/>
      <c r="E111" s="129"/>
      <c r="F111" s="129"/>
      <c r="G111" s="129"/>
      <c r="H111" s="129"/>
      <c r="I111" s="129"/>
      <c r="J111" s="129"/>
      <c r="K111" s="129"/>
    </row>
    <row r="112" spans="1:11" ht="12.75">
      <c r="A112" s="127">
        <v>7120</v>
      </c>
      <c r="B112" s="128" t="s">
        <v>93</v>
      </c>
      <c r="C112" s="129"/>
      <c r="D112" s="129"/>
      <c r="E112" s="129"/>
      <c r="F112" s="129"/>
      <c r="G112" s="129"/>
      <c r="H112" s="129"/>
      <c r="I112" s="129"/>
      <c r="J112" s="129"/>
      <c r="K112" s="129"/>
    </row>
    <row r="113" spans="1:11" ht="12.75">
      <c r="A113" s="127">
        <v>7130</v>
      </c>
      <c r="B113" s="128" t="s">
        <v>96</v>
      </c>
      <c r="C113" s="129"/>
      <c r="D113" s="129"/>
      <c r="E113" s="129"/>
      <c r="F113" s="129"/>
      <c r="G113" s="129"/>
      <c r="H113" s="129"/>
      <c r="I113" s="129"/>
      <c r="J113" s="129"/>
      <c r="K113" s="129"/>
    </row>
    <row r="114" spans="1:11" ht="12.75">
      <c r="A114" s="127">
        <v>7140</v>
      </c>
      <c r="B114" s="128" t="s">
        <v>130</v>
      </c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spans="1:11" ht="12.75">
      <c r="A115" s="127">
        <v>7150</v>
      </c>
      <c r="B115" s="128" t="s">
        <v>136</v>
      </c>
      <c r="C115" s="129"/>
      <c r="D115" s="129"/>
      <c r="E115" s="129"/>
      <c r="F115" s="129"/>
      <c r="G115" s="129"/>
      <c r="H115" s="129"/>
      <c r="I115" s="129"/>
      <c r="J115" s="129"/>
      <c r="K115" s="129"/>
    </row>
    <row r="116" spans="1:11" ht="12.75">
      <c r="A116" s="127">
        <v>7160</v>
      </c>
      <c r="B116" s="128" t="s">
        <v>137</v>
      </c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1:11" ht="15">
      <c r="A117" s="145">
        <v>7200</v>
      </c>
      <c r="B117" s="146" t="s">
        <v>133</v>
      </c>
      <c r="C117" s="147">
        <f>+SUM(C118:C123)</f>
        <v>0</v>
      </c>
      <c r="D117" s="147">
        <f aca="true" t="shared" si="34" ref="D117:K117">+SUM(D118:D123)</f>
        <v>0</v>
      </c>
      <c r="E117" s="147">
        <f t="shared" si="34"/>
        <v>0</v>
      </c>
      <c r="F117" s="147">
        <f t="shared" si="34"/>
        <v>0</v>
      </c>
      <c r="G117" s="147">
        <f t="shared" si="34"/>
        <v>0</v>
      </c>
      <c r="H117" s="147">
        <f t="shared" si="34"/>
        <v>0</v>
      </c>
      <c r="I117" s="147">
        <f t="shared" si="34"/>
        <v>0</v>
      </c>
      <c r="J117" s="147">
        <f t="shared" si="34"/>
        <v>0</v>
      </c>
      <c r="K117" s="147">
        <f t="shared" si="34"/>
        <v>0</v>
      </c>
    </row>
    <row r="118" spans="1:11" ht="12.75">
      <c r="A118" s="127">
        <v>7210</v>
      </c>
      <c r="B118" s="128" t="s">
        <v>75</v>
      </c>
      <c r="C118" s="129"/>
      <c r="D118" s="129"/>
      <c r="E118" s="129"/>
      <c r="F118" s="129"/>
      <c r="G118" s="129"/>
      <c r="H118" s="129"/>
      <c r="I118" s="129"/>
      <c r="J118" s="129"/>
      <c r="K118" s="129"/>
    </row>
    <row r="119" spans="1:11" ht="12.75">
      <c r="A119" s="127">
        <v>7220</v>
      </c>
      <c r="B119" s="128" t="s">
        <v>93</v>
      </c>
      <c r="C119" s="129"/>
      <c r="D119" s="129"/>
      <c r="E119" s="129"/>
      <c r="F119" s="129"/>
      <c r="G119" s="129"/>
      <c r="H119" s="129"/>
      <c r="I119" s="129"/>
      <c r="J119" s="129"/>
      <c r="K119" s="129"/>
    </row>
    <row r="120" spans="1:11" ht="12.75">
      <c r="A120" s="127">
        <v>7230</v>
      </c>
      <c r="B120" s="128" t="s">
        <v>96</v>
      </c>
      <c r="C120" s="129"/>
      <c r="D120" s="129"/>
      <c r="E120" s="129"/>
      <c r="F120" s="129"/>
      <c r="G120" s="129"/>
      <c r="H120" s="129"/>
      <c r="I120" s="129"/>
      <c r="J120" s="129"/>
      <c r="K120" s="129"/>
    </row>
    <row r="121" spans="1:11" ht="12.75">
      <c r="A121" s="127">
        <v>7240</v>
      </c>
      <c r="B121" s="128" t="s">
        <v>130</v>
      </c>
      <c r="C121" s="129"/>
      <c r="D121" s="129"/>
      <c r="E121" s="129"/>
      <c r="F121" s="129"/>
      <c r="G121" s="129"/>
      <c r="H121" s="129"/>
      <c r="I121" s="129"/>
      <c r="J121" s="129"/>
      <c r="K121" s="129"/>
    </row>
    <row r="122" spans="1:11" ht="12.75">
      <c r="A122" s="127">
        <v>7250</v>
      </c>
      <c r="B122" s="128" t="s">
        <v>136</v>
      </c>
      <c r="C122" s="129"/>
      <c r="D122" s="129"/>
      <c r="E122" s="129"/>
      <c r="F122" s="129"/>
      <c r="G122" s="129"/>
      <c r="H122" s="129"/>
      <c r="I122" s="129"/>
      <c r="J122" s="129"/>
      <c r="K122" s="129"/>
    </row>
    <row r="123" spans="1:11" ht="12.75">
      <c r="A123" s="127">
        <v>7260</v>
      </c>
      <c r="B123" s="128" t="s">
        <v>137</v>
      </c>
      <c r="C123" s="129"/>
      <c r="D123" s="129"/>
      <c r="E123" s="129"/>
      <c r="F123" s="129"/>
      <c r="G123" s="129"/>
      <c r="H123" s="129"/>
      <c r="I123" s="129"/>
      <c r="J123" s="129"/>
      <c r="K123" s="129"/>
    </row>
    <row r="124" spans="1:11" ht="21" thickBot="1">
      <c r="A124" s="258" t="s">
        <v>138</v>
      </c>
      <c r="B124" s="259"/>
      <c r="C124" s="263">
        <f>+C91+C15</f>
        <v>0</v>
      </c>
      <c r="D124" s="263">
        <f aca="true" t="shared" si="35" ref="D124:K124">+D91+D15</f>
        <v>8345</v>
      </c>
      <c r="E124" s="263">
        <f t="shared" si="35"/>
        <v>8345</v>
      </c>
      <c r="F124" s="263">
        <f t="shared" si="35"/>
        <v>0</v>
      </c>
      <c r="G124" s="263">
        <f t="shared" si="35"/>
        <v>8030</v>
      </c>
      <c r="H124" s="263">
        <f t="shared" si="35"/>
        <v>8030</v>
      </c>
      <c r="I124" s="263">
        <f t="shared" si="35"/>
        <v>0</v>
      </c>
      <c r="J124" s="263">
        <f t="shared" si="35"/>
        <v>0</v>
      </c>
      <c r="K124" s="263">
        <f t="shared" si="35"/>
        <v>0</v>
      </c>
    </row>
    <row r="125" spans="1:11" ht="21" thickBot="1">
      <c r="A125" s="261" t="s">
        <v>306</v>
      </c>
      <c r="B125" s="262"/>
      <c r="C125" s="264">
        <v>0</v>
      </c>
      <c r="D125" s="264">
        <v>3154</v>
      </c>
      <c r="E125" s="264">
        <f>+C125+D125</f>
        <v>3154</v>
      </c>
      <c r="F125" s="264">
        <v>0</v>
      </c>
      <c r="G125" s="264">
        <v>4707</v>
      </c>
      <c r="H125" s="264">
        <f>+F125+G125</f>
        <v>4707</v>
      </c>
      <c r="I125" s="264">
        <v>0</v>
      </c>
      <c r="J125" s="264">
        <v>0</v>
      </c>
      <c r="K125" s="264">
        <v>0</v>
      </c>
    </row>
    <row r="126" spans="1:11" ht="20.25">
      <c r="A126" s="236" t="s">
        <v>308</v>
      </c>
      <c r="B126" s="237"/>
      <c r="C126" s="238"/>
      <c r="D126" s="238"/>
      <c r="E126" s="238"/>
      <c r="F126" s="238"/>
      <c r="G126" s="238"/>
      <c r="H126" s="238"/>
      <c r="I126" s="238"/>
      <c r="J126" s="238"/>
      <c r="K126" s="238"/>
    </row>
    <row r="127" spans="1:11" ht="12.75">
      <c r="A127" s="239"/>
      <c r="B127" s="239"/>
      <c r="C127" s="240"/>
      <c r="D127" s="240"/>
      <c r="E127" s="240"/>
      <c r="F127" s="240"/>
      <c r="G127" s="240"/>
      <c r="H127" s="240"/>
      <c r="I127" s="240"/>
      <c r="J127" s="240"/>
      <c r="K127" s="240"/>
    </row>
    <row r="128" spans="1:11" ht="12.75">
      <c r="A128" s="235"/>
      <c r="B128" s="16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 ht="12.75">
      <c r="B129" s="28" t="s">
        <v>139</v>
      </c>
      <c r="C129" s="169"/>
      <c r="D129" s="169"/>
      <c r="E129" s="169"/>
      <c r="F129" s="169"/>
      <c r="G129" s="169"/>
      <c r="H129" s="169"/>
      <c r="I129" s="169"/>
      <c r="J129" s="169"/>
      <c r="K129" s="169"/>
    </row>
    <row r="130" spans="2:11" ht="12.75">
      <c r="B130" s="102" t="s">
        <v>3</v>
      </c>
      <c r="C130" s="113" t="s">
        <v>270</v>
      </c>
      <c r="D130" s="113"/>
      <c r="E130" s="113"/>
      <c r="F130" s="113" t="s">
        <v>271</v>
      </c>
      <c r="G130" s="113"/>
      <c r="H130" s="113"/>
      <c r="I130" s="113" t="s">
        <v>191</v>
      </c>
      <c r="J130" s="113"/>
      <c r="K130" s="113"/>
    </row>
    <row r="131" spans="2:11" ht="12.75">
      <c r="B131" s="104"/>
      <c r="C131" s="114" t="s">
        <v>70</v>
      </c>
      <c r="D131" s="114" t="s">
        <v>71</v>
      </c>
      <c r="E131" s="114" t="s">
        <v>72</v>
      </c>
      <c r="F131" s="114" t="s">
        <v>70</v>
      </c>
      <c r="G131" s="114" t="s">
        <v>71</v>
      </c>
      <c r="H131" s="114" t="s">
        <v>72</v>
      </c>
      <c r="I131" s="114" t="s">
        <v>70</v>
      </c>
      <c r="J131" s="114" t="s">
        <v>71</v>
      </c>
      <c r="K131" s="114" t="s">
        <v>72</v>
      </c>
    </row>
    <row r="132" spans="2:11" ht="12.75">
      <c r="B132" s="104"/>
      <c r="C132" s="114" t="s">
        <v>73</v>
      </c>
      <c r="D132" s="114" t="s">
        <v>74</v>
      </c>
      <c r="E132" s="114"/>
      <c r="F132" s="114" t="s">
        <v>73</v>
      </c>
      <c r="G132" s="114" t="s">
        <v>74</v>
      </c>
      <c r="H132" s="114"/>
      <c r="I132" s="114" t="s">
        <v>73</v>
      </c>
      <c r="J132" s="114" t="s">
        <v>74</v>
      </c>
      <c r="K132" s="114"/>
    </row>
    <row r="133" spans="2:11" ht="12.75">
      <c r="B133" s="104"/>
      <c r="C133" s="114" t="s">
        <v>75</v>
      </c>
      <c r="D133" s="114"/>
      <c r="E133" s="114"/>
      <c r="F133" s="114" t="s">
        <v>75</v>
      </c>
      <c r="G133" s="114"/>
      <c r="H133" s="114"/>
      <c r="I133" s="114" t="s">
        <v>75</v>
      </c>
      <c r="J133" s="114"/>
      <c r="K133" s="114"/>
    </row>
    <row r="134" spans="2:11" s="117" customFormat="1" ht="13.5" thickBot="1">
      <c r="B134" s="115"/>
      <c r="C134" s="116">
        <v>1</v>
      </c>
      <c r="D134" s="116">
        <v>2</v>
      </c>
      <c r="E134" s="116" t="s">
        <v>192</v>
      </c>
      <c r="F134" s="116">
        <v>4</v>
      </c>
      <c r="G134" s="116">
        <v>5</v>
      </c>
      <c r="H134" s="116" t="s">
        <v>193</v>
      </c>
      <c r="I134" s="116">
        <v>7</v>
      </c>
      <c r="J134" s="116">
        <v>8</v>
      </c>
      <c r="K134" s="116" t="s">
        <v>194</v>
      </c>
    </row>
    <row r="135" spans="2:11" ht="12.75">
      <c r="B135" s="29" t="s">
        <v>140</v>
      </c>
      <c r="C135" s="170">
        <f aca="true" t="shared" si="36" ref="C135:K135">+C15</f>
        <v>0</v>
      </c>
      <c r="D135" s="170">
        <f t="shared" si="36"/>
        <v>8345</v>
      </c>
      <c r="E135" s="170">
        <f t="shared" si="36"/>
        <v>8345</v>
      </c>
      <c r="F135" s="170">
        <f t="shared" si="36"/>
        <v>0</v>
      </c>
      <c r="G135" s="170">
        <f t="shared" si="36"/>
        <v>8030</v>
      </c>
      <c r="H135" s="170">
        <f t="shared" si="36"/>
        <v>8030</v>
      </c>
      <c r="I135" s="170">
        <f t="shared" si="36"/>
        <v>0</v>
      </c>
      <c r="J135" s="170">
        <f t="shared" si="36"/>
        <v>0</v>
      </c>
      <c r="K135" s="170">
        <f t="shared" si="36"/>
        <v>0</v>
      </c>
    </row>
    <row r="136" spans="2:11" ht="12.75">
      <c r="B136" s="29" t="s">
        <v>31</v>
      </c>
      <c r="C136" s="170">
        <f aca="true" t="shared" si="37" ref="C136:K136">+C91</f>
        <v>0</v>
      </c>
      <c r="D136" s="170">
        <f t="shared" si="37"/>
        <v>0</v>
      </c>
      <c r="E136" s="170">
        <f t="shared" si="37"/>
        <v>0</v>
      </c>
      <c r="F136" s="170">
        <f t="shared" si="37"/>
        <v>0</v>
      </c>
      <c r="G136" s="170">
        <f t="shared" si="37"/>
        <v>0</v>
      </c>
      <c r="H136" s="170">
        <f t="shared" si="37"/>
        <v>0</v>
      </c>
      <c r="I136" s="170">
        <f t="shared" si="37"/>
        <v>0</v>
      </c>
      <c r="J136" s="170">
        <f t="shared" si="37"/>
        <v>0</v>
      </c>
      <c r="K136" s="170">
        <f t="shared" si="37"/>
        <v>0</v>
      </c>
    </row>
    <row r="137" spans="2:11" ht="12.75">
      <c r="B137" s="29" t="s">
        <v>141</v>
      </c>
      <c r="C137" s="170">
        <f aca="true" t="shared" si="38" ref="C137:K137">+C125</f>
        <v>0</v>
      </c>
      <c r="D137" s="170">
        <f t="shared" si="38"/>
        <v>3154</v>
      </c>
      <c r="E137" s="170">
        <f t="shared" si="38"/>
        <v>3154</v>
      </c>
      <c r="F137" s="170">
        <f t="shared" si="38"/>
        <v>0</v>
      </c>
      <c r="G137" s="170">
        <f t="shared" si="38"/>
        <v>4707</v>
      </c>
      <c r="H137" s="170">
        <f t="shared" si="38"/>
        <v>4707</v>
      </c>
      <c r="I137" s="170">
        <f t="shared" si="38"/>
        <v>0</v>
      </c>
      <c r="J137" s="170">
        <f t="shared" si="38"/>
        <v>0</v>
      </c>
      <c r="K137" s="170">
        <f t="shared" si="38"/>
        <v>0</v>
      </c>
    </row>
    <row r="138" spans="2:11" ht="12.75">
      <c r="B138" s="73" t="s">
        <v>142</v>
      </c>
      <c r="C138" s="171">
        <f aca="true" t="shared" si="39" ref="C138:K138">+SUM(C135:C137)</f>
        <v>0</v>
      </c>
      <c r="D138" s="171">
        <f t="shared" si="39"/>
        <v>11499</v>
      </c>
      <c r="E138" s="171">
        <f t="shared" si="39"/>
        <v>11499</v>
      </c>
      <c r="F138" s="171">
        <f t="shared" si="39"/>
        <v>0</v>
      </c>
      <c r="G138" s="171">
        <f t="shared" si="39"/>
        <v>12737</v>
      </c>
      <c r="H138" s="171">
        <f t="shared" si="39"/>
        <v>12737</v>
      </c>
      <c r="I138" s="171">
        <f t="shared" si="39"/>
        <v>0</v>
      </c>
      <c r="J138" s="171">
        <f t="shared" si="39"/>
        <v>0</v>
      </c>
      <c r="K138" s="171">
        <f t="shared" si="39"/>
        <v>0</v>
      </c>
    </row>
    <row r="139" ht="12.75">
      <c r="B139" s="21"/>
    </row>
  </sheetData>
  <sheetProtection/>
  <mergeCells count="4">
    <mergeCell ref="A1:K1"/>
    <mergeCell ref="A2:K2"/>
    <mergeCell ref="A3:K3"/>
    <mergeCell ref="A5:K5"/>
  </mergeCells>
  <printOptions horizontalCentered="1" verticalCentered="1"/>
  <pageMargins left="0.15748031496062992" right="0.24" top="0.19" bottom="0.2755905511811024" header="0" footer="0"/>
  <pageSetup fitToHeight="0" fitToWidth="1" horizontalDpi="300" verticalDpi="3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zoomScalePageLayoutView="0" workbookViewId="0" topLeftCell="A25">
      <selection activeCell="A3" sqref="A3:K3"/>
    </sheetView>
  </sheetViews>
  <sheetFormatPr defaultColWidth="0" defaultRowHeight="12.75" customHeight="1" zeroHeight="1"/>
  <cols>
    <col min="1" max="1" width="12.421875" style="0" bestFit="1" customWidth="1"/>
    <col min="2" max="2" width="49.140625" style="0" customWidth="1"/>
    <col min="3" max="4" width="13.57421875" style="0" customWidth="1"/>
    <col min="5" max="5" width="13.140625" style="0" customWidth="1"/>
    <col min="6" max="6" width="9.00390625" style="0" customWidth="1"/>
    <col min="7" max="7" width="47.140625" style="0" bestFit="1" customWidth="1"/>
    <col min="8" max="10" width="12.7109375" style="0" bestFit="1" customWidth="1"/>
    <col min="11" max="11" width="5.140625" style="0" customWidth="1"/>
    <col min="12" max="16384" width="0" style="0" hidden="1" customWidth="1"/>
  </cols>
  <sheetData>
    <row r="1" spans="1:11" ht="18">
      <c r="A1" s="467" t="s">
        <v>279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18">
      <c r="A2" s="467" t="s">
        <v>216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15.75">
      <c r="A3" s="468" t="s">
        <v>267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0" ht="12.75">
      <c r="A4" s="174"/>
      <c r="B4" s="175"/>
      <c r="C4" s="175"/>
      <c r="D4" s="175"/>
      <c r="E4" s="175"/>
      <c r="F4" s="175"/>
      <c r="G4" s="175"/>
      <c r="H4" s="175"/>
      <c r="I4" s="175"/>
      <c r="J4" s="176"/>
    </row>
    <row r="5" spans="1:10" ht="15.75">
      <c r="A5" s="480" t="s">
        <v>290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5.75">
      <c r="A6" s="177"/>
      <c r="B6" s="178"/>
      <c r="C6" s="178"/>
      <c r="D6" s="178"/>
      <c r="E6" s="178"/>
      <c r="F6" s="178"/>
      <c r="G6" s="178"/>
      <c r="H6" s="178"/>
      <c r="I6" s="178"/>
      <c r="J6" s="179"/>
    </row>
    <row r="7" spans="1:10" ht="15.75">
      <c r="A7" s="180"/>
      <c r="B7" s="245" t="s">
        <v>281</v>
      </c>
      <c r="C7" s="477">
        <v>1309</v>
      </c>
      <c r="D7" s="478"/>
      <c r="E7" s="478"/>
      <c r="F7" s="478"/>
      <c r="G7" s="478"/>
      <c r="H7" s="478"/>
      <c r="I7" s="478"/>
      <c r="J7" s="479"/>
    </row>
    <row r="8" spans="1:10" ht="15.75">
      <c r="A8" s="180"/>
      <c r="B8" s="245" t="s">
        <v>0</v>
      </c>
      <c r="C8" s="477">
        <v>130900</v>
      </c>
      <c r="D8" s="478"/>
      <c r="E8" s="478"/>
      <c r="F8" s="478"/>
      <c r="G8" s="478"/>
      <c r="H8" s="478"/>
      <c r="I8" s="478"/>
      <c r="J8" s="479"/>
    </row>
    <row r="9" spans="1:10" ht="16.5" thickBot="1">
      <c r="A9" s="182"/>
      <c r="B9" s="245" t="s">
        <v>280</v>
      </c>
      <c r="C9" s="469" t="s">
        <v>316</v>
      </c>
      <c r="D9" s="470"/>
      <c r="E9" s="470"/>
      <c r="F9" s="470"/>
      <c r="G9" s="470"/>
      <c r="H9" s="470"/>
      <c r="I9" s="470"/>
      <c r="J9" s="471"/>
    </row>
    <row r="10" spans="1:10" ht="16.5" thickBot="1">
      <c r="A10" s="183"/>
      <c r="B10" s="181"/>
      <c r="C10" s="181"/>
      <c r="D10" s="181"/>
      <c r="E10" s="181"/>
      <c r="F10" s="184"/>
      <c r="G10" s="184"/>
      <c r="H10" s="184"/>
      <c r="I10" s="184"/>
      <c r="J10" s="184"/>
    </row>
    <row r="11" spans="1:10" ht="12.75">
      <c r="A11" s="472" t="s">
        <v>222</v>
      </c>
      <c r="B11" s="473"/>
      <c r="C11" s="473"/>
      <c r="D11" s="473"/>
      <c r="E11" s="473"/>
      <c r="F11" s="474" t="s">
        <v>291</v>
      </c>
      <c r="G11" s="475"/>
      <c r="H11" s="475"/>
      <c r="I11" s="475"/>
      <c r="J11" s="476"/>
    </row>
    <row r="12" spans="1:10" ht="12.75">
      <c r="A12" s="185" t="s">
        <v>76</v>
      </c>
      <c r="B12" s="186" t="s">
        <v>123</v>
      </c>
      <c r="C12" s="186" t="s">
        <v>223</v>
      </c>
      <c r="D12" s="186" t="s">
        <v>224</v>
      </c>
      <c r="E12" s="187" t="s">
        <v>225</v>
      </c>
      <c r="F12" s="188" t="s">
        <v>226</v>
      </c>
      <c r="G12" s="189" t="s">
        <v>227</v>
      </c>
      <c r="H12" s="189" t="s">
        <v>228</v>
      </c>
      <c r="I12" s="190" t="s">
        <v>229</v>
      </c>
      <c r="J12" s="191" t="s">
        <v>230</v>
      </c>
    </row>
    <row r="13" spans="1:10" ht="78" customHeight="1" thickBot="1">
      <c r="A13" s="192" t="s">
        <v>231</v>
      </c>
      <c r="B13" s="193" t="s">
        <v>232</v>
      </c>
      <c r="C13" s="194" t="s">
        <v>294</v>
      </c>
      <c r="D13" s="194" t="s">
        <v>233</v>
      </c>
      <c r="E13" s="195" t="s">
        <v>234</v>
      </c>
      <c r="F13" s="192" t="s">
        <v>235</v>
      </c>
      <c r="G13" s="193" t="s">
        <v>298</v>
      </c>
      <c r="H13" s="194" t="s">
        <v>297</v>
      </c>
      <c r="I13" s="196" t="s">
        <v>296</v>
      </c>
      <c r="J13" s="197" t="s">
        <v>295</v>
      </c>
    </row>
    <row r="14" spans="1:10" ht="12.75">
      <c r="A14" s="198" t="s">
        <v>76</v>
      </c>
      <c r="B14" s="199" t="s">
        <v>77</v>
      </c>
      <c r="C14" s="200"/>
      <c r="D14" s="200"/>
      <c r="E14" s="201"/>
      <c r="F14" s="202">
        <v>3</v>
      </c>
      <c r="G14" s="203" t="s">
        <v>236</v>
      </c>
      <c r="H14" s="200"/>
      <c r="I14" s="204"/>
      <c r="J14" s="204"/>
    </row>
    <row r="15" spans="1:10" ht="12.75">
      <c r="A15" s="205">
        <v>2000</v>
      </c>
      <c r="B15" s="206" t="s">
        <v>237</v>
      </c>
      <c r="C15" s="204"/>
      <c r="D15" s="204"/>
      <c r="E15" s="207"/>
      <c r="F15" s="208" t="s">
        <v>238</v>
      </c>
      <c r="G15" s="209" t="s">
        <v>239</v>
      </c>
      <c r="H15" s="204"/>
      <c r="I15" s="204"/>
      <c r="J15" s="204"/>
    </row>
    <row r="16" spans="1:10" ht="12.75">
      <c r="A16" s="486">
        <v>2040</v>
      </c>
      <c r="B16" s="500" t="s">
        <v>292</v>
      </c>
      <c r="C16" s="503"/>
      <c r="D16" s="503">
        <v>2105</v>
      </c>
      <c r="E16" s="483">
        <f>+D16+C16</f>
        <v>2105</v>
      </c>
      <c r="F16" s="208">
        <v>311</v>
      </c>
      <c r="G16" s="209" t="s">
        <v>240</v>
      </c>
      <c r="H16" s="204"/>
      <c r="I16" s="204"/>
      <c r="J16" s="204"/>
    </row>
    <row r="17" spans="1:10" ht="12.75">
      <c r="A17" s="487"/>
      <c r="B17" s="501"/>
      <c r="C17" s="504"/>
      <c r="D17" s="504"/>
      <c r="E17" s="484"/>
      <c r="F17" s="208">
        <v>31141</v>
      </c>
      <c r="G17" s="209" t="s">
        <v>241</v>
      </c>
      <c r="H17" s="210"/>
      <c r="I17" s="210">
        <v>76</v>
      </c>
      <c r="J17" s="211">
        <f>IF(SUM(H17+H19)=C16,IF(SUM(I17+I19)=D16,SUM(H17+I17)))</f>
        <v>76</v>
      </c>
    </row>
    <row r="18" spans="1:10" ht="22.5">
      <c r="A18" s="487"/>
      <c r="B18" s="501"/>
      <c r="C18" s="504"/>
      <c r="D18" s="504"/>
      <c r="E18" s="484"/>
      <c r="F18" s="208">
        <v>321</v>
      </c>
      <c r="G18" s="241" t="s">
        <v>293</v>
      </c>
      <c r="H18" s="204"/>
      <c r="I18" s="204"/>
      <c r="J18" s="204"/>
    </row>
    <row r="19" spans="1:10" ht="12.75">
      <c r="A19" s="487"/>
      <c r="B19" s="501"/>
      <c r="C19" s="504"/>
      <c r="D19" s="504"/>
      <c r="E19" s="484"/>
      <c r="F19" s="208">
        <v>3211</v>
      </c>
      <c r="G19" s="209" t="s">
        <v>242</v>
      </c>
      <c r="H19" s="210"/>
      <c r="I19" s="210">
        <v>2029</v>
      </c>
      <c r="J19" s="211">
        <f>IF(SUM(H17+H19)=C16,IF(SUM(I17+I19)=D16,SUM(H19+I19)))</f>
        <v>2029</v>
      </c>
    </row>
    <row r="20" spans="1:10" ht="12.75">
      <c r="A20" s="487"/>
      <c r="B20" s="501"/>
      <c r="C20" s="504"/>
      <c r="D20" s="504"/>
      <c r="E20" s="484"/>
      <c r="F20" s="208">
        <v>311</v>
      </c>
      <c r="G20" s="209" t="s">
        <v>240</v>
      </c>
      <c r="H20" s="204"/>
      <c r="I20" s="204"/>
      <c r="J20" s="204"/>
    </row>
    <row r="21" spans="1:10" ht="12.75">
      <c r="A21" s="487"/>
      <c r="B21" s="501"/>
      <c r="C21" s="504"/>
      <c r="D21" s="504"/>
      <c r="E21" s="484"/>
      <c r="F21" s="208">
        <v>31142</v>
      </c>
      <c r="G21" s="209" t="s">
        <v>243</v>
      </c>
      <c r="H21" s="210"/>
      <c r="I21" s="210"/>
      <c r="J21" s="211">
        <f>IF(SUM(H21+H23+H24)=C20,IF(SUM(I21+I23+I24)=D20,SUM(H21+I21)))</f>
        <v>0</v>
      </c>
    </row>
    <row r="22" spans="1:10" ht="12.75">
      <c r="A22" s="487"/>
      <c r="B22" s="501"/>
      <c r="C22" s="504"/>
      <c r="D22" s="504"/>
      <c r="E22" s="484"/>
      <c r="F22" s="208">
        <v>312</v>
      </c>
      <c r="G22" s="209" t="s">
        <v>244</v>
      </c>
      <c r="H22" s="204"/>
      <c r="I22" s="204"/>
      <c r="J22" s="204"/>
    </row>
    <row r="23" spans="1:10" ht="12.75">
      <c r="A23" s="487"/>
      <c r="B23" s="501"/>
      <c r="C23" s="504"/>
      <c r="D23" s="504"/>
      <c r="E23" s="484"/>
      <c r="F23" s="208">
        <v>3123</v>
      </c>
      <c r="G23" s="209" t="s">
        <v>245</v>
      </c>
      <c r="H23" s="210"/>
      <c r="I23" s="210"/>
      <c r="J23" s="211">
        <f>IF(SUM(H21+H23+H24)=C20,IF(SUM(I21+I23+I24)=D20,SUM(H23+I23)))</f>
        <v>0</v>
      </c>
    </row>
    <row r="24" spans="1:10" ht="12.75">
      <c r="A24" s="488"/>
      <c r="B24" s="502"/>
      <c r="C24" s="505"/>
      <c r="D24" s="505"/>
      <c r="E24" s="485"/>
      <c r="F24" s="208">
        <v>3124</v>
      </c>
      <c r="G24" s="209" t="s">
        <v>246</v>
      </c>
      <c r="H24" s="210"/>
      <c r="I24" s="210"/>
      <c r="J24" s="211">
        <f>IF(SUM(H21+H23+H24)=C20,IF(SUM(I21+I23+I24)=D20,SUM(H24+I24)))</f>
        <v>0</v>
      </c>
    </row>
    <row r="25" spans="1:10" ht="12.75">
      <c r="A25" s="212"/>
      <c r="B25" s="213" t="s">
        <v>247</v>
      </c>
      <c r="C25" s="204"/>
      <c r="D25" s="204"/>
      <c r="E25" s="207"/>
      <c r="F25" s="208">
        <v>3</v>
      </c>
      <c r="G25" s="209" t="s">
        <v>299</v>
      </c>
      <c r="H25" s="204"/>
      <c r="I25" s="204"/>
      <c r="J25" s="204"/>
    </row>
    <row r="26" spans="1:10" ht="12.75">
      <c r="A26" s="214">
        <v>4000</v>
      </c>
      <c r="B26" s="215" t="s">
        <v>115</v>
      </c>
      <c r="C26" s="204"/>
      <c r="D26" s="204"/>
      <c r="E26" s="207"/>
      <c r="F26" s="208">
        <v>3</v>
      </c>
      <c r="G26" s="209" t="s">
        <v>299</v>
      </c>
      <c r="H26" s="204"/>
      <c r="I26" s="204"/>
      <c r="J26" s="204"/>
    </row>
    <row r="27" spans="1:10" ht="12.75">
      <c r="A27" s="214">
        <v>4200</v>
      </c>
      <c r="B27" s="216" t="s">
        <v>248</v>
      </c>
      <c r="C27" s="204"/>
      <c r="D27" s="204"/>
      <c r="E27" s="207"/>
      <c r="F27" s="208">
        <v>322</v>
      </c>
      <c r="G27" s="209" t="s">
        <v>115</v>
      </c>
      <c r="H27" s="204"/>
      <c r="I27" s="204"/>
      <c r="J27" s="204"/>
    </row>
    <row r="28" spans="1:10" ht="12.75">
      <c r="A28" s="492">
        <v>4210</v>
      </c>
      <c r="B28" s="494" t="s">
        <v>249</v>
      </c>
      <c r="C28" s="496"/>
      <c r="D28" s="496"/>
      <c r="E28" s="489">
        <f>+D28+C28</f>
        <v>0</v>
      </c>
      <c r="F28" s="208">
        <v>3221</v>
      </c>
      <c r="G28" s="209" t="s">
        <v>250</v>
      </c>
      <c r="H28" s="210"/>
      <c r="I28" s="210"/>
      <c r="J28" s="217">
        <f>IF(SUM(H$28+H$29+H$30)=C$28,IF(SUM(I$28+I$29+I$30)=D$28,SUM(H28+I28)))</f>
        <v>0</v>
      </c>
    </row>
    <row r="29" spans="1:10" ht="12.75">
      <c r="A29" s="492"/>
      <c r="B29" s="494"/>
      <c r="C29" s="496"/>
      <c r="D29" s="498"/>
      <c r="E29" s="490"/>
      <c r="F29" s="208">
        <v>3222</v>
      </c>
      <c r="G29" s="209" t="s">
        <v>251</v>
      </c>
      <c r="H29" s="210"/>
      <c r="I29" s="210"/>
      <c r="J29" s="217">
        <f>IF(SUM(H$28+H$29+H$30)=C$28,IF(SUM(I$28+I$29+I$30)=D$28,SUM(H29+I29)))</f>
        <v>0</v>
      </c>
    </row>
    <row r="30" spans="1:10" ht="12.75">
      <c r="A30" s="493"/>
      <c r="B30" s="495"/>
      <c r="C30" s="497"/>
      <c r="D30" s="499"/>
      <c r="E30" s="491"/>
      <c r="F30" s="208">
        <v>3223</v>
      </c>
      <c r="G30" s="209" t="s">
        <v>252</v>
      </c>
      <c r="H30" s="210"/>
      <c r="I30" s="210"/>
      <c r="J30" s="217">
        <f>IF(SUM(H$28+H$29+H$30)=C$28,IF(SUM(I$28+I$29+I$30)=D$28,SUM(H30+I30)))</f>
        <v>0</v>
      </c>
    </row>
    <row r="31" spans="1:10" ht="12.75">
      <c r="A31" s="218"/>
      <c r="B31" s="218"/>
      <c r="C31" s="218"/>
      <c r="D31" s="218"/>
      <c r="E31" s="218"/>
      <c r="F31" s="219"/>
      <c r="G31" s="218"/>
      <c r="H31" s="220"/>
      <c r="I31" s="220"/>
      <c r="J31" s="220"/>
    </row>
    <row r="32" spans="1:10" ht="13.5" thickBot="1">
      <c r="A32" s="218" t="s">
        <v>253</v>
      </c>
      <c r="B32" s="218"/>
      <c r="C32" s="218"/>
      <c r="D32" s="218"/>
      <c r="E32" s="218"/>
      <c r="F32" s="219"/>
      <c r="G32" s="218"/>
      <c r="H32" s="218"/>
      <c r="I32" s="218"/>
      <c r="J32" s="218"/>
    </row>
    <row r="33" spans="1:10" ht="12.75">
      <c r="A33" s="221">
        <v>1</v>
      </c>
      <c r="B33" s="222" t="s">
        <v>254</v>
      </c>
      <c r="C33" s="222"/>
      <c r="D33" s="222"/>
      <c r="E33" s="222"/>
      <c r="F33" s="223"/>
      <c r="G33" s="222"/>
      <c r="H33" s="222"/>
      <c r="I33" s="222"/>
      <c r="J33" s="224"/>
    </row>
    <row r="34" spans="1:10" ht="12.75">
      <c r="A34" s="225">
        <v>2</v>
      </c>
      <c r="B34" s="218" t="s">
        <v>255</v>
      </c>
      <c r="C34" s="218"/>
      <c r="D34" s="218"/>
      <c r="E34" s="218"/>
      <c r="F34" s="219"/>
      <c r="G34" s="218"/>
      <c r="H34" s="218"/>
      <c r="I34" s="218"/>
      <c r="J34" s="226"/>
    </row>
    <row r="35" spans="1:10" ht="12.75">
      <c r="A35" s="225">
        <v>3</v>
      </c>
      <c r="B35" s="218" t="s">
        <v>256</v>
      </c>
      <c r="C35" s="218"/>
      <c r="D35" s="218"/>
      <c r="E35" s="218"/>
      <c r="F35" s="219"/>
      <c r="G35" s="218"/>
      <c r="H35" s="218"/>
      <c r="I35" s="218"/>
      <c r="J35" s="226"/>
    </row>
    <row r="36" spans="1:10" ht="12.75">
      <c r="A36" s="225">
        <v>4</v>
      </c>
      <c r="B36" s="218" t="s">
        <v>257</v>
      </c>
      <c r="C36" s="218"/>
      <c r="D36" s="218"/>
      <c r="E36" s="218"/>
      <c r="F36" s="219"/>
      <c r="G36" s="218"/>
      <c r="H36" s="218"/>
      <c r="I36" s="218"/>
      <c r="J36" s="226"/>
    </row>
    <row r="37" spans="1:10" ht="12.75">
      <c r="A37" s="225">
        <v>5</v>
      </c>
      <c r="B37" s="218" t="s">
        <v>258</v>
      </c>
      <c r="C37" s="218"/>
      <c r="D37" s="218"/>
      <c r="E37" s="218"/>
      <c r="F37" s="219"/>
      <c r="G37" s="218"/>
      <c r="H37" s="218"/>
      <c r="I37" s="218"/>
      <c r="J37" s="226"/>
    </row>
    <row r="38" spans="1:10" ht="12.75">
      <c r="A38" s="225">
        <v>6</v>
      </c>
      <c r="B38" s="218" t="s">
        <v>259</v>
      </c>
      <c r="C38" s="218"/>
      <c r="D38" s="218"/>
      <c r="E38" s="218"/>
      <c r="F38" s="219"/>
      <c r="G38" s="218"/>
      <c r="H38" s="218"/>
      <c r="I38" s="218"/>
      <c r="J38" s="226"/>
    </row>
    <row r="39" spans="1:10" ht="12.75">
      <c r="A39" s="225">
        <v>7</v>
      </c>
      <c r="B39" s="218" t="s">
        <v>260</v>
      </c>
      <c r="C39" s="218"/>
      <c r="D39" s="218"/>
      <c r="E39" s="218"/>
      <c r="F39" s="219"/>
      <c r="G39" s="218"/>
      <c r="H39" s="218"/>
      <c r="I39" s="218"/>
      <c r="J39" s="226"/>
    </row>
    <row r="40" spans="1:10" ht="12.75">
      <c r="A40" s="225">
        <v>8</v>
      </c>
      <c r="B40" s="218" t="s">
        <v>261</v>
      </c>
      <c r="C40" s="218"/>
      <c r="D40" s="218"/>
      <c r="E40" s="218"/>
      <c r="F40" s="219"/>
      <c r="G40" s="218"/>
      <c r="H40" s="218"/>
      <c r="I40" s="218"/>
      <c r="J40" s="226"/>
    </row>
    <row r="41" spans="1:10" ht="12.75">
      <c r="A41" s="225">
        <v>9</v>
      </c>
      <c r="B41" s="218" t="s">
        <v>262</v>
      </c>
      <c r="C41" s="218"/>
      <c r="D41" s="218"/>
      <c r="E41" s="218"/>
      <c r="F41" s="219"/>
      <c r="G41" s="218"/>
      <c r="H41" s="218"/>
      <c r="I41" s="218"/>
      <c r="J41" s="226"/>
    </row>
    <row r="42" spans="1:10" ht="12.75">
      <c r="A42" s="225">
        <v>10</v>
      </c>
      <c r="B42" s="218" t="s">
        <v>263</v>
      </c>
      <c r="C42" s="218"/>
      <c r="D42" s="218"/>
      <c r="E42" s="218"/>
      <c r="F42" s="219"/>
      <c r="G42" s="218"/>
      <c r="H42" s="218"/>
      <c r="I42" s="218"/>
      <c r="J42" s="226"/>
    </row>
    <row r="43" spans="1:10" ht="12.75">
      <c r="A43" s="225">
        <v>11</v>
      </c>
      <c r="B43" s="227" t="s">
        <v>264</v>
      </c>
      <c r="C43" s="218"/>
      <c r="D43" s="218"/>
      <c r="E43" s="218"/>
      <c r="F43" s="219"/>
      <c r="G43" s="218"/>
      <c r="H43" s="218"/>
      <c r="I43" s="218"/>
      <c r="J43" s="226"/>
    </row>
    <row r="44" spans="1:10" ht="12.75">
      <c r="A44" s="225">
        <v>12</v>
      </c>
      <c r="B44" s="218" t="s">
        <v>265</v>
      </c>
      <c r="C44" s="218"/>
      <c r="D44" s="218"/>
      <c r="E44" s="218"/>
      <c r="F44" s="219"/>
      <c r="G44" s="218"/>
      <c r="H44" s="218"/>
      <c r="I44" s="218"/>
      <c r="J44" s="226"/>
    </row>
    <row r="45" spans="1:10" ht="12.75">
      <c r="A45" s="225">
        <v>13</v>
      </c>
      <c r="B45" s="218" t="s">
        <v>266</v>
      </c>
      <c r="C45" s="218"/>
      <c r="D45" s="218"/>
      <c r="E45" s="218"/>
      <c r="F45" s="219"/>
      <c r="G45" s="218"/>
      <c r="H45" s="218"/>
      <c r="I45" s="218"/>
      <c r="J45" s="226"/>
    </row>
    <row r="46" spans="1:10" ht="13.5" thickBot="1">
      <c r="A46" s="228"/>
      <c r="B46" s="229"/>
      <c r="C46" s="229"/>
      <c r="D46" s="229"/>
      <c r="E46" s="229"/>
      <c r="F46" s="230"/>
      <c r="G46" s="229"/>
      <c r="H46" s="229"/>
      <c r="I46" s="229"/>
      <c r="J46" s="231"/>
    </row>
    <row r="47" spans="1:10" ht="12.75">
      <c r="A47" s="218"/>
      <c r="B47" s="218"/>
      <c r="C47" s="218"/>
      <c r="D47" s="218"/>
      <c r="E47" s="218"/>
      <c r="F47" s="219"/>
      <c r="G47" s="218"/>
      <c r="H47" s="218"/>
      <c r="I47" s="218"/>
      <c r="J47" s="218"/>
    </row>
    <row r="48" spans="1:10" ht="12.75" hidden="1">
      <c r="A48" s="218"/>
      <c r="B48" s="218"/>
      <c r="C48" s="218"/>
      <c r="D48" s="218"/>
      <c r="E48" s="218"/>
      <c r="F48" s="219"/>
      <c r="G48" s="218"/>
      <c r="H48" s="218"/>
      <c r="I48" s="218"/>
      <c r="J48" s="218"/>
    </row>
    <row r="49" spans="1:10" ht="12.75" hidden="1">
      <c r="A49" s="218"/>
      <c r="B49" s="218"/>
      <c r="C49" s="218"/>
      <c r="D49" s="218"/>
      <c r="E49" s="218"/>
      <c r="F49" s="219"/>
      <c r="G49" s="218"/>
      <c r="H49" s="218"/>
      <c r="I49" s="218"/>
      <c r="J49" s="218"/>
    </row>
    <row r="50" spans="1:10" ht="12.75" hidden="1">
      <c r="A50" s="218"/>
      <c r="B50" s="218"/>
      <c r="C50" s="218"/>
      <c r="D50" s="218"/>
      <c r="E50" s="218"/>
      <c r="F50" s="219"/>
      <c r="G50" s="218"/>
      <c r="H50" s="218"/>
      <c r="I50" s="218"/>
      <c r="J50" s="218"/>
    </row>
    <row r="51" ht="12.75" customHeight="1"/>
    <row r="52" ht="12.75" customHeight="1"/>
  </sheetData>
  <sheetProtection/>
  <protectedRanges>
    <protectedRange sqref="H17:I17" name="Rango10"/>
    <protectedRange sqref="C28:D30" name="Rango25"/>
    <protectedRange sqref="C16:D24" name="Rango24"/>
    <protectedRange sqref="H28:I30" name="Rango23"/>
    <protectedRange sqref="H23:I24" name="Rango21"/>
    <protectedRange sqref="H21:I21" name="Rango20"/>
    <protectedRange sqref="H19:I19" name="Rango19"/>
    <protectedRange sqref="C7:J9" name="Rango18"/>
    <protectedRange sqref="H19:I19" name="Rango2"/>
  </protectedRanges>
  <mergeCells count="19">
    <mergeCell ref="E16:E24"/>
    <mergeCell ref="A16:A24"/>
    <mergeCell ref="E28:E30"/>
    <mergeCell ref="A28:A30"/>
    <mergeCell ref="B28:B30"/>
    <mergeCell ref="C28:C30"/>
    <mergeCell ref="D28:D30"/>
    <mergeCell ref="B16:B24"/>
    <mergeCell ref="C16:C24"/>
    <mergeCell ref="D16:D24"/>
    <mergeCell ref="C9:J9"/>
    <mergeCell ref="A11:E11"/>
    <mergeCell ref="F11:J11"/>
    <mergeCell ref="C7:J7"/>
    <mergeCell ref="C8:J8"/>
    <mergeCell ref="A1:K1"/>
    <mergeCell ref="A2:K2"/>
    <mergeCell ref="A3:K3"/>
    <mergeCell ref="A5:J5"/>
  </mergeCells>
  <printOptions horizontalCentered="1"/>
  <pageMargins left="0.39" right="0.46" top="0.984251968503937" bottom="0.984251968503937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="75" zoomScaleNormal="75" zoomScalePageLayoutView="0" workbookViewId="0" topLeftCell="A1">
      <selection activeCell="M19" sqref="M19"/>
    </sheetView>
  </sheetViews>
  <sheetFormatPr defaultColWidth="0" defaultRowHeight="12.75"/>
  <cols>
    <col min="1" max="1" width="36.57421875" style="0" customWidth="1"/>
    <col min="2" max="3" width="11.421875" style="0" customWidth="1"/>
    <col min="4" max="4" width="13.00390625" style="0" customWidth="1"/>
    <col min="5" max="5" width="15.8515625" style="0" customWidth="1"/>
    <col min="6" max="6" width="13.00390625" style="459" customWidth="1"/>
    <col min="7" max="7" width="12.57421875" style="459" customWidth="1"/>
    <col min="8" max="8" width="14.140625" style="459" customWidth="1"/>
    <col min="9" max="12" width="11.421875" style="0" customWidth="1"/>
    <col min="13" max="13" width="14.140625" style="0" customWidth="1"/>
    <col min="14" max="14" width="14.00390625" style="0" customWidth="1"/>
    <col min="15" max="15" width="11.421875" style="0" customWidth="1"/>
    <col min="16" max="16384" width="0" style="0" hidden="1" customWidth="1"/>
  </cols>
  <sheetData>
    <row r="1" spans="1:14" ht="18">
      <c r="A1" s="31" t="s">
        <v>383</v>
      </c>
      <c r="B1" s="31"/>
      <c r="C1" s="24"/>
      <c r="D1" s="24"/>
      <c r="E1" s="24"/>
      <c r="F1" s="458"/>
      <c r="G1" s="458"/>
      <c r="H1" s="458"/>
      <c r="I1" s="24"/>
      <c r="J1" s="24"/>
      <c r="K1" s="24"/>
      <c r="L1" s="24"/>
      <c r="M1" s="24"/>
      <c r="N1" s="24"/>
    </row>
    <row r="2" spans="1:14" ht="15.75">
      <c r="A2" s="25" t="s">
        <v>216</v>
      </c>
      <c r="B2" s="32"/>
      <c r="C2" s="24"/>
      <c r="D2" s="24"/>
      <c r="E2" s="24"/>
      <c r="F2" s="458"/>
      <c r="G2" s="458"/>
      <c r="H2" s="458"/>
      <c r="I2" s="24"/>
      <c r="J2" s="24"/>
      <c r="K2" s="24"/>
      <c r="L2" s="24"/>
      <c r="M2" s="24"/>
      <c r="N2" s="24"/>
    </row>
    <row r="3" spans="1:14" ht="12.75">
      <c r="A3" s="173" t="s">
        <v>219</v>
      </c>
      <c r="B3" s="32"/>
      <c r="C3" s="24"/>
      <c r="D3" s="24"/>
      <c r="E3" s="24"/>
      <c r="F3" s="458"/>
      <c r="G3" s="458"/>
      <c r="H3" s="458"/>
      <c r="I3" s="24"/>
      <c r="J3" s="24"/>
      <c r="K3" s="24"/>
      <c r="L3" s="24"/>
      <c r="M3" s="24"/>
      <c r="N3" s="24"/>
    </row>
    <row r="5" spans="1:14" ht="15.75">
      <c r="A5" s="18" t="s">
        <v>384</v>
      </c>
      <c r="B5" s="18"/>
      <c r="F5" s="460"/>
      <c r="N5" s="20"/>
    </row>
    <row r="6" spans="1:13" ht="15.75">
      <c r="A6" s="18" t="s">
        <v>391</v>
      </c>
      <c r="B6" s="18"/>
      <c r="M6" s="17"/>
    </row>
    <row r="7" spans="1:13" ht="16.5" thickBot="1">
      <c r="A7" s="18"/>
      <c r="B7" s="18"/>
      <c r="M7" s="17"/>
    </row>
    <row r="8" spans="1:14" ht="13.5" thickTop="1">
      <c r="A8" s="37" t="s">
        <v>41</v>
      </c>
      <c r="B8" s="38"/>
      <c r="C8" s="506">
        <v>2011</v>
      </c>
      <c r="D8" s="507"/>
      <c r="E8" s="508"/>
      <c r="F8" s="39">
        <v>2012</v>
      </c>
      <c r="G8" s="39"/>
      <c r="H8" s="39"/>
      <c r="I8" s="39"/>
      <c r="J8" s="39">
        <v>2013</v>
      </c>
      <c r="K8" s="39"/>
      <c r="L8" s="39"/>
      <c r="M8" s="40">
        <v>2013</v>
      </c>
      <c r="N8" s="40"/>
    </row>
    <row r="9" spans="1:14" ht="12.75">
      <c r="A9" s="41"/>
      <c r="B9" s="42" t="s">
        <v>42</v>
      </c>
      <c r="C9" s="42" t="s">
        <v>385</v>
      </c>
      <c r="D9" s="42" t="s">
        <v>43</v>
      </c>
      <c r="E9" s="42" t="s">
        <v>44</v>
      </c>
      <c r="F9" s="42" t="s">
        <v>385</v>
      </c>
      <c r="G9" s="42" t="s">
        <v>43</v>
      </c>
      <c r="H9" s="42" t="s">
        <v>44</v>
      </c>
      <c r="I9" s="43" t="s">
        <v>385</v>
      </c>
      <c r="J9" s="43"/>
      <c r="K9" s="43" t="s">
        <v>45</v>
      </c>
      <c r="L9" s="43"/>
      <c r="M9" s="44" t="s">
        <v>44</v>
      </c>
      <c r="N9" s="44" t="s">
        <v>46</v>
      </c>
    </row>
    <row r="10" spans="1:14" ht="12.75">
      <c r="A10" s="41"/>
      <c r="B10" s="42" t="s">
        <v>190</v>
      </c>
      <c r="C10" s="42" t="s">
        <v>47</v>
      </c>
      <c r="D10" s="42" t="s">
        <v>48</v>
      </c>
      <c r="E10" s="42"/>
      <c r="F10" s="42" t="s">
        <v>47</v>
      </c>
      <c r="G10" s="42" t="s">
        <v>48</v>
      </c>
      <c r="H10" s="42"/>
      <c r="I10" s="42" t="s">
        <v>49</v>
      </c>
      <c r="J10" s="42" t="s">
        <v>50</v>
      </c>
      <c r="K10" s="42" t="s">
        <v>49</v>
      </c>
      <c r="L10" s="42" t="s">
        <v>43</v>
      </c>
      <c r="M10" s="44"/>
      <c r="N10" s="44" t="s">
        <v>386</v>
      </c>
    </row>
    <row r="11" spans="1:14" ht="12.75">
      <c r="A11" s="41"/>
      <c r="B11" s="42"/>
      <c r="C11" s="42"/>
      <c r="D11" s="42" t="s">
        <v>51</v>
      </c>
      <c r="E11" s="42" t="s">
        <v>52</v>
      </c>
      <c r="F11" s="42"/>
      <c r="G11" s="42" t="s">
        <v>51</v>
      </c>
      <c r="H11" s="42" t="s">
        <v>52</v>
      </c>
      <c r="I11" s="42" t="s">
        <v>53</v>
      </c>
      <c r="J11" s="42" t="s">
        <v>47</v>
      </c>
      <c r="K11" s="42" t="s">
        <v>53</v>
      </c>
      <c r="L11" s="42" t="s">
        <v>51</v>
      </c>
      <c r="M11" s="44" t="s">
        <v>52</v>
      </c>
      <c r="N11" s="44" t="s">
        <v>54</v>
      </c>
    </row>
    <row r="12" spans="1:14" ht="12.75">
      <c r="A12" s="41"/>
      <c r="B12" s="42"/>
      <c r="C12" s="42"/>
      <c r="D12" s="42" t="s">
        <v>55</v>
      </c>
      <c r="E12" s="42"/>
      <c r="F12" s="42"/>
      <c r="G12" s="42" t="s">
        <v>55</v>
      </c>
      <c r="H12" s="42"/>
      <c r="I12" s="42"/>
      <c r="J12" s="42"/>
      <c r="K12" s="42"/>
      <c r="L12" s="42" t="s">
        <v>55</v>
      </c>
      <c r="M12" s="44"/>
      <c r="N12" s="44" t="s">
        <v>52</v>
      </c>
    </row>
    <row r="13" spans="1:14" ht="13.5" thickBot="1">
      <c r="A13" s="47">
        <v>1</v>
      </c>
      <c r="B13" s="45">
        <v>2</v>
      </c>
      <c r="C13" s="45">
        <v>3</v>
      </c>
      <c r="D13" s="45">
        <v>4</v>
      </c>
      <c r="E13" s="45" t="s">
        <v>189</v>
      </c>
      <c r="F13" s="45">
        <v>6</v>
      </c>
      <c r="G13" s="45">
        <v>7</v>
      </c>
      <c r="H13" s="45" t="s">
        <v>188</v>
      </c>
      <c r="I13" s="45">
        <v>9</v>
      </c>
      <c r="J13" s="45" t="s">
        <v>187</v>
      </c>
      <c r="K13" s="45">
        <v>11</v>
      </c>
      <c r="L13" s="45" t="s">
        <v>184</v>
      </c>
      <c r="M13" s="46" t="s">
        <v>185</v>
      </c>
      <c r="N13" s="46" t="s">
        <v>186</v>
      </c>
    </row>
    <row r="14" spans="1:14" ht="16.5" thickBot="1">
      <c r="A14" s="442" t="s">
        <v>56</v>
      </c>
      <c r="B14" s="443"/>
      <c r="C14" s="443"/>
      <c r="D14" s="443"/>
      <c r="E14" s="453">
        <f>+E19</f>
        <v>10627.569</v>
      </c>
      <c r="F14" s="443"/>
      <c r="G14" s="453"/>
      <c r="H14" s="443">
        <f>+H19</f>
        <v>10627.569</v>
      </c>
      <c r="I14" s="443"/>
      <c r="J14" s="443"/>
      <c r="K14" s="443"/>
      <c r="L14" s="443"/>
      <c r="M14" s="444">
        <f>+M19</f>
        <v>10627.569</v>
      </c>
      <c r="N14" s="445">
        <f>+N29+N45+N61</f>
        <v>89.9</v>
      </c>
    </row>
    <row r="15" spans="1:14" ht="12.75">
      <c r="A15" s="87" t="s">
        <v>57</v>
      </c>
      <c r="B15" s="88"/>
      <c r="C15" s="88"/>
      <c r="D15" s="88"/>
      <c r="E15" s="92"/>
      <c r="F15" s="88"/>
      <c r="G15" s="88"/>
      <c r="H15" s="92"/>
      <c r="I15" s="88"/>
      <c r="J15" s="88"/>
      <c r="K15" s="88"/>
      <c r="L15" s="88"/>
      <c r="M15" s="89"/>
      <c r="N15" s="89"/>
    </row>
    <row r="16" spans="1:14" ht="12.75">
      <c r="A16" s="33"/>
      <c r="B16" s="2"/>
      <c r="C16" s="455"/>
      <c r="D16" s="455"/>
      <c r="E16" s="456">
        <f>+C16*D16</f>
        <v>0</v>
      </c>
      <c r="F16" s="455"/>
      <c r="G16" s="455"/>
      <c r="H16" s="456">
        <f>+F16*G16</f>
        <v>0</v>
      </c>
      <c r="I16" s="2"/>
      <c r="J16" s="2">
        <f>+F16*(1+I16)</f>
        <v>0</v>
      </c>
      <c r="K16" s="2"/>
      <c r="L16" s="2">
        <f>+G16*(1+K16)</f>
        <v>0</v>
      </c>
      <c r="M16" s="34">
        <f>+L16*J16</f>
        <v>0</v>
      </c>
      <c r="N16" s="34"/>
    </row>
    <row r="17" spans="1:14" ht="12.75">
      <c r="A17" s="33" t="s">
        <v>387</v>
      </c>
      <c r="B17" s="2" t="s">
        <v>388</v>
      </c>
      <c r="C17" s="455">
        <v>3403</v>
      </c>
      <c r="D17" s="455">
        <v>3123</v>
      </c>
      <c r="E17" s="457">
        <f>+C17*D17/1000</f>
        <v>10627.569</v>
      </c>
      <c r="F17" s="455">
        <v>3403</v>
      </c>
      <c r="G17" s="455">
        <v>3123</v>
      </c>
      <c r="H17" s="456">
        <f>+F17*G17/1000</f>
        <v>10627.569</v>
      </c>
      <c r="I17" s="2">
        <v>0</v>
      </c>
      <c r="J17" s="2">
        <f>+F17*(1+I17)</f>
        <v>3403</v>
      </c>
      <c r="K17" s="2">
        <v>0.00767</v>
      </c>
      <c r="L17" s="2">
        <v>3123</v>
      </c>
      <c r="M17" s="34">
        <f>+L17*J17/1000</f>
        <v>10627.569</v>
      </c>
      <c r="N17" s="34">
        <f>+G17*J17/1000</f>
        <v>10627.569</v>
      </c>
    </row>
    <row r="18" spans="1:14" ht="12.75">
      <c r="A18" s="33"/>
      <c r="B18" s="2"/>
      <c r="C18" s="455"/>
      <c r="D18" s="455"/>
      <c r="E18" s="456">
        <f>+C18*D18</f>
        <v>0</v>
      </c>
      <c r="F18" s="455"/>
      <c r="G18" s="455"/>
      <c r="H18" s="456">
        <f>+F18*G18</f>
        <v>0</v>
      </c>
      <c r="I18" s="2"/>
      <c r="J18" s="2">
        <f>+F18*(1+I18)</f>
        <v>0</v>
      </c>
      <c r="K18" s="2"/>
      <c r="L18" s="2">
        <f>+G18*(1+K18)</f>
        <v>0</v>
      </c>
      <c r="M18" s="34">
        <f>+L18*J18</f>
        <v>0</v>
      </c>
      <c r="N18" s="34"/>
    </row>
    <row r="19" spans="1:14" s="86" customFormat="1" ht="13.5" thickBot="1">
      <c r="A19" s="82" t="s">
        <v>58</v>
      </c>
      <c r="B19" s="83"/>
      <c r="C19" s="83"/>
      <c r="D19" s="83"/>
      <c r="E19" s="454">
        <f>+SUM(E16:E18)</f>
        <v>10627.569</v>
      </c>
      <c r="F19" s="83"/>
      <c r="G19" s="454"/>
      <c r="H19" s="83">
        <f>+SUM(H16:H18)</f>
        <v>10627.569</v>
      </c>
      <c r="I19" s="83"/>
      <c r="J19" s="83"/>
      <c r="K19" s="83"/>
      <c r="L19" s="83"/>
      <c r="M19" s="85">
        <f>+SUM(M16:M18)</f>
        <v>10627.569</v>
      </c>
      <c r="N19" s="85"/>
    </row>
    <row r="20" spans="1:14" ht="16.5" thickTop="1">
      <c r="A20" s="446" t="s">
        <v>59</v>
      </c>
      <c r="B20" s="447"/>
      <c r="C20" s="447"/>
      <c r="D20" s="447"/>
      <c r="E20" s="448">
        <f>+E35+E51+E67</f>
        <v>179.9</v>
      </c>
      <c r="F20" s="447"/>
      <c r="G20" s="448"/>
      <c r="H20" s="447">
        <f>+H35+H51+H67</f>
        <v>179.9</v>
      </c>
      <c r="I20" s="447"/>
      <c r="J20" s="447"/>
      <c r="K20" s="447"/>
      <c r="L20" s="447"/>
      <c r="M20" s="445">
        <f>+M35+M51+M67</f>
        <v>179.9</v>
      </c>
      <c r="N20" s="445">
        <f>+N35+N51+N67</f>
        <v>179.9</v>
      </c>
    </row>
    <row r="21" spans="1:14" ht="12.75">
      <c r="A21" s="87" t="s">
        <v>60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89"/>
    </row>
    <row r="22" spans="1:14" ht="12.75">
      <c r="A22" s="33" t="s">
        <v>317</v>
      </c>
      <c r="B22" s="2" t="s">
        <v>389</v>
      </c>
      <c r="C22" s="455">
        <v>2500</v>
      </c>
      <c r="D22" s="455">
        <v>14</v>
      </c>
      <c r="E22" s="456">
        <f>+C22*D22/1000</f>
        <v>35</v>
      </c>
      <c r="F22" s="455">
        <v>2500</v>
      </c>
      <c r="G22" s="455">
        <v>14</v>
      </c>
      <c r="H22" s="456">
        <f>+F22*G22/1000</f>
        <v>35</v>
      </c>
      <c r="I22" s="2">
        <v>0.04</v>
      </c>
      <c r="J22" s="2">
        <v>2500</v>
      </c>
      <c r="K22" s="2">
        <v>0.00767</v>
      </c>
      <c r="L22" s="2">
        <v>14</v>
      </c>
      <c r="M22" s="449">
        <f>+L22*J22/1000</f>
        <v>35</v>
      </c>
      <c r="N22" s="449">
        <f>+G22*J22/1000</f>
        <v>35</v>
      </c>
    </row>
    <row r="23" spans="1:15" ht="12.75">
      <c r="A23" s="33"/>
      <c r="B23" s="2"/>
      <c r="C23" s="455"/>
      <c r="D23" s="455"/>
      <c r="E23" s="456">
        <f>+C23*D23</f>
        <v>0</v>
      </c>
      <c r="F23" s="455"/>
      <c r="G23" s="455"/>
      <c r="H23" s="456">
        <f>+F23*G23</f>
        <v>0</v>
      </c>
      <c r="I23" s="2"/>
      <c r="J23" s="2">
        <f>+F23*(1+I23)</f>
        <v>0</v>
      </c>
      <c r="K23" s="2"/>
      <c r="L23" s="2">
        <f>+G23*K23</f>
        <v>0</v>
      </c>
      <c r="M23" s="34">
        <f>+L23*J23</f>
        <v>0</v>
      </c>
      <c r="N23" s="34">
        <f>+G23*J23</f>
        <v>0</v>
      </c>
      <c r="O23" s="450"/>
    </row>
    <row r="24" spans="1:14" ht="12.75">
      <c r="A24" s="91" t="s">
        <v>61</v>
      </c>
      <c r="B24" s="26"/>
      <c r="C24" s="451">
        <f>+SUM(C22:C23)</f>
        <v>2500</v>
      </c>
      <c r="D24" s="26"/>
      <c r="E24" s="94">
        <f>+SUM(E22:E23)</f>
        <v>35</v>
      </c>
      <c r="F24" s="461">
        <f>+SUM(F22:F23)</f>
        <v>2500</v>
      </c>
      <c r="G24" s="462"/>
      <c r="H24" s="461">
        <f>+SUM(H22:H23)</f>
        <v>35</v>
      </c>
      <c r="I24" s="26"/>
      <c r="J24" s="451">
        <f>+SUM(J22:J23)</f>
        <v>2500</v>
      </c>
      <c r="K24" s="26"/>
      <c r="L24" s="26"/>
      <c r="M24" s="452">
        <f>+SUM(M22:M23)</f>
        <v>35</v>
      </c>
      <c r="N24" s="452">
        <f>+SUM(N22:N23)</f>
        <v>35</v>
      </c>
    </row>
    <row r="25" spans="1:14" ht="12.75">
      <c r="A25" s="33" t="s">
        <v>317</v>
      </c>
      <c r="B25" s="2" t="s">
        <v>318</v>
      </c>
      <c r="C25" s="455">
        <v>3100</v>
      </c>
      <c r="D25" s="455">
        <v>29</v>
      </c>
      <c r="E25" s="456">
        <f>+C25*D25/1000</f>
        <v>89.9</v>
      </c>
      <c r="F25" s="455">
        <v>3100</v>
      </c>
      <c r="G25" s="455">
        <v>29</v>
      </c>
      <c r="H25" s="456">
        <f>+F25*G25/1000</f>
        <v>89.9</v>
      </c>
      <c r="I25" s="2">
        <v>0.4</v>
      </c>
      <c r="J25" s="2">
        <v>3100</v>
      </c>
      <c r="K25" s="2">
        <v>0.00767</v>
      </c>
      <c r="L25" s="2">
        <v>29</v>
      </c>
      <c r="M25" s="449">
        <f>+L25*J25/1000</f>
        <v>89.9</v>
      </c>
      <c r="N25" s="449">
        <f>+G25*J25/1000</f>
        <v>89.9</v>
      </c>
    </row>
    <row r="26" spans="1:14" ht="12.75">
      <c r="A26" s="90"/>
      <c r="B26" s="2"/>
      <c r="C26" s="455"/>
      <c r="D26" s="455"/>
      <c r="E26" s="456">
        <f>+C26*D26</f>
        <v>0</v>
      </c>
      <c r="F26" s="455"/>
      <c r="G26" s="455"/>
      <c r="H26" s="456">
        <f>+F26*G26</f>
        <v>0</v>
      </c>
      <c r="I26" s="2"/>
      <c r="J26" s="2">
        <f>+F26*(1+I26)</f>
        <v>0</v>
      </c>
      <c r="K26" s="2"/>
      <c r="L26" s="2">
        <f>+G26*(1+K26)</f>
        <v>0</v>
      </c>
      <c r="M26" s="34">
        <f>+L26*J26</f>
        <v>0</v>
      </c>
      <c r="N26" s="34">
        <f>+G26*J26</f>
        <v>0</v>
      </c>
    </row>
    <row r="27" spans="1:14" ht="12.75">
      <c r="A27" s="90"/>
      <c r="B27" s="2"/>
      <c r="C27" s="455"/>
      <c r="D27" s="455"/>
      <c r="E27" s="456">
        <f>+C27*D27</f>
        <v>0</v>
      </c>
      <c r="F27" s="455"/>
      <c r="G27" s="455"/>
      <c r="H27" s="456">
        <f>+F27*G27</f>
        <v>0</v>
      </c>
      <c r="I27" s="2"/>
      <c r="J27" s="2">
        <f>+F27*(1+I27)</f>
        <v>0</v>
      </c>
      <c r="K27" s="2"/>
      <c r="L27" s="2">
        <f>+G27*(1+K27)</f>
        <v>0</v>
      </c>
      <c r="M27" s="34">
        <f>+L27*J27</f>
        <v>0</v>
      </c>
      <c r="N27" s="34">
        <f>+G27*J27</f>
        <v>0</v>
      </c>
    </row>
    <row r="28" spans="1:14" ht="12.75">
      <c r="A28" s="90"/>
      <c r="B28" s="2"/>
      <c r="C28" s="455"/>
      <c r="D28" s="455"/>
      <c r="E28" s="456">
        <f>+C28*D28</f>
        <v>0</v>
      </c>
      <c r="F28" s="455"/>
      <c r="G28" s="455"/>
      <c r="H28" s="456">
        <f>+F28*G28</f>
        <v>0</v>
      </c>
      <c r="I28" s="2"/>
      <c r="J28" s="2">
        <f>+F28*(1+I28)</f>
        <v>0</v>
      </c>
      <c r="K28" s="2"/>
      <c r="L28" s="2">
        <f>+G28*(1+K28)</f>
        <v>0</v>
      </c>
      <c r="M28" s="34">
        <f>+L28*J28</f>
        <v>0</v>
      </c>
      <c r="N28" s="34">
        <f>+G28*J28</f>
        <v>0</v>
      </c>
    </row>
    <row r="29" spans="1:14" ht="12.75">
      <c r="A29" s="91" t="s">
        <v>62</v>
      </c>
      <c r="B29" s="26"/>
      <c r="C29" s="30">
        <f>+SUM(C25:C28)</f>
        <v>3100</v>
      </c>
      <c r="D29" s="26"/>
      <c r="E29" s="95">
        <f>+SUM(E25:E28)</f>
        <v>89.9</v>
      </c>
      <c r="F29" s="463">
        <f>+SUM(F25:F28)</f>
        <v>3100</v>
      </c>
      <c r="G29" s="462"/>
      <c r="H29" s="463">
        <f>+SUM(H25:H28)</f>
        <v>89.9</v>
      </c>
      <c r="I29" s="26"/>
      <c r="J29" s="30">
        <f>+SUM(J25:J28)</f>
        <v>3100</v>
      </c>
      <c r="K29" s="26"/>
      <c r="L29" s="26"/>
      <c r="M29" s="35">
        <f>+SUM(M25:M28)</f>
        <v>89.9</v>
      </c>
      <c r="N29" s="35">
        <f>+SUM(N25:N28)</f>
        <v>89.9</v>
      </c>
    </row>
    <row r="30" spans="1:14" ht="12.75">
      <c r="A30" s="33" t="s">
        <v>317</v>
      </c>
      <c r="B30" s="2" t="s">
        <v>319</v>
      </c>
      <c r="C30" s="455">
        <v>11000</v>
      </c>
      <c r="D30" s="455">
        <v>5</v>
      </c>
      <c r="E30" s="456">
        <f>+C30*D30/1000</f>
        <v>55</v>
      </c>
      <c r="F30" s="455">
        <v>11000</v>
      </c>
      <c r="G30" s="455">
        <v>5</v>
      </c>
      <c r="H30" s="456">
        <f>+F30*G30/1000</f>
        <v>55</v>
      </c>
      <c r="I30" s="2">
        <v>1</v>
      </c>
      <c r="J30" s="2">
        <v>11000</v>
      </c>
      <c r="K30" s="2">
        <v>0.00767</v>
      </c>
      <c r="L30" s="2">
        <v>5</v>
      </c>
      <c r="M30" s="449">
        <f>+L30*J30/1000</f>
        <v>55</v>
      </c>
      <c r="N30" s="449">
        <f>+G30*J30/1000</f>
        <v>55</v>
      </c>
    </row>
    <row r="31" spans="1:14" ht="12.75">
      <c r="A31" s="90"/>
      <c r="B31" s="2"/>
      <c r="C31" s="455"/>
      <c r="D31" s="455"/>
      <c r="E31" s="456">
        <f>+C31*D31</f>
        <v>0</v>
      </c>
      <c r="F31" s="455"/>
      <c r="G31" s="455"/>
      <c r="H31" s="456">
        <f>+F31*G31</f>
        <v>0</v>
      </c>
      <c r="I31" s="2"/>
      <c r="J31" s="2">
        <f>+F31*(1+I31)</f>
        <v>0</v>
      </c>
      <c r="K31" s="2"/>
      <c r="L31" s="2">
        <f>+G31*(1+K31)</f>
        <v>0</v>
      </c>
      <c r="M31" s="34">
        <f>+L31*J31</f>
        <v>0</v>
      </c>
      <c r="N31" s="34">
        <f>+G31*J31</f>
        <v>0</v>
      </c>
    </row>
    <row r="32" spans="1:14" ht="12.75">
      <c r="A32" s="90"/>
      <c r="B32" s="2"/>
      <c r="C32" s="455"/>
      <c r="D32" s="455"/>
      <c r="E32" s="456">
        <f>+C32*D32</f>
        <v>0</v>
      </c>
      <c r="F32" s="455"/>
      <c r="G32" s="455"/>
      <c r="H32" s="456">
        <f>+F32*G32</f>
        <v>0</v>
      </c>
      <c r="I32" s="2"/>
      <c r="J32" s="2">
        <f>+F32*(1+I32)</f>
        <v>0</v>
      </c>
      <c r="K32" s="2"/>
      <c r="L32" s="2">
        <f>+G32*(1+K32)</f>
        <v>0</v>
      </c>
      <c r="M32" s="34">
        <f>+L32*J32</f>
        <v>0</v>
      </c>
      <c r="N32" s="34">
        <f>+G32*J32</f>
        <v>0</v>
      </c>
    </row>
    <row r="33" spans="1:14" ht="12.75">
      <c r="A33" s="90"/>
      <c r="B33" s="2"/>
      <c r="C33" s="455"/>
      <c r="D33" s="455"/>
      <c r="E33" s="456">
        <f>+C33*D33</f>
        <v>0</v>
      </c>
      <c r="F33" s="455"/>
      <c r="G33" s="455"/>
      <c r="H33" s="456">
        <f>+F33*G33</f>
        <v>0</v>
      </c>
      <c r="I33" s="2"/>
      <c r="J33" s="2">
        <f>+F33*(1+I33)</f>
        <v>0</v>
      </c>
      <c r="K33" s="2"/>
      <c r="L33" s="2">
        <f>+G33*(1+K33)</f>
        <v>0</v>
      </c>
      <c r="M33" s="34">
        <f>+L33*J33</f>
        <v>0</v>
      </c>
      <c r="N33" s="34">
        <f>+G33*J33</f>
        <v>0</v>
      </c>
    </row>
    <row r="34" spans="1:14" ht="12.75">
      <c r="A34" s="91" t="s">
        <v>63</v>
      </c>
      <c r="B34" s="26"/>
      <c r="C34" s="30">
        <f>+SUM(C30:C33)</f>
        <v>11000</v>
      </c>
      <c r="D34" s="26"/>
      <c r="E34" s="30">
        <f>+SUM(E30:E33)</f>
        <v>55</v>
      </c>
      <c r="F34" s="463">
        <f>+SUM(F30:F33)</f>
        <v>11000</v>
      </c>
      <c r="G34" s="462"/>
      <c r="H34" s="463">
        <f>+SUM(H30:H33)</f>
        <v>55</v>
      </c>
      <c r="I34" s="26"/>
      <c r="J34" s="30">
        <f>+SUM(J30:J33)</f>
        <v>11000</v>
      </c>
      <c r="K34" s="26"/>
      <c r="L34" s="26"/>
      <c r="M34" s="35">
        <f>+SUM(M30:M33)</f>
        <v>55</v>
      </c>
      <c r="N34" s="35">
        <f>+SUM(N30:N33)</f>
        <v>55</v>
      </c>
    </row>
    <row r="35" spans="1:14" s="86" customFormat="1" ht="13.5" thickBot="1">
      <c r="A35" s="82" t="s">
        <v>64</v>
      </c>
      <c r="B35" s="83"/>
      <c r="C35" s="83"/>
      <c r="D35" s="83"/>
      <c r="E35" s="84">
        <f>+E34+E29+E24</f>
        <v>179.9</v>
      </c>
      <c r="F35" s="464"/>
      <c r="G35" s="464"/>
      <c r="H35" s="465">
        <f>+H34+H29+H24</f>
        <v>179.9</v>
      </c>
      <c r="I35" s="83"/>
      <c r="J35" s="84" t="s">
        <v>68</v>
      </c>
      <c r="K35" s="83"/>
      <c r="L35" s="83"/>
      <c r="M35" s="85">
        <f>+M34+M29+M24</f>
        <v>179.9</v>
      </c>
      <c r="N35" s="85">
        <f>+N34+N29+N24</f>
        <v>179.9</v>
      </c>
    </row>
    <row r="36" spans="1:14" ht="13.5" thickTop="1">
      <c r="A36" s="87" t="s">
        <v>390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89"/>
    </row>
    <row r="37" spans="1:14" ht="12.75">
      <c r="A37" s="33"/>
      <c r="B37" s="2"/>
      <c r="C37" s="2"/>
      <c r="D37" s="2"/>
      <c r="E37" s="93">
        <f>+C37*D37/1000</f>
        <v>0</v>
      </c>
      <c r="F37" s="455"/>
      <c r="G37" s="455"/>
      <c r="H37" s="456">
        <f>+F37*G37</f>
        <v>0</v>
      </c>
      <c r="I37" s="2"/>
      <c r="J37" s="2">
        <f>+F37*(1+I37)</f>
        <v>0</v>
      </c>
      <c r="K37" s="2"/>
      <c r="L37" s="2">
        <f>+G37*(1+K37)</f>
        <v>0</v>
      </c>
      <c r="M37" s="34">
        <f>+L37*J37</f>
        <v>0</v>
      </c>
      <c r="N37" s="34">
        <f aca="true" t="shared" si="0" ref="N37:N50">+G37*J37</f>
        <v>0</v>
      </c>
    </row>
    <row r="38" spans="1:14" ht="12.75">
      <c r="A38" s="90"/>
      <c r="B38" s="2"/>
      <c r="C38" s="2"/>
      <c r="D38" s="2"/>
      <c r="E38" s="93">
        <f>+C38*D38/1000</f>
        <v>0</v>
      </c>
      <c r="F38" s="455"/>
      <c r="G38" s="455"/>
      <c r="H38" s="456">
        <f>+F38*G38</f>
        <v>0</v>
      </c>
      <c r="I38" s="2"/>
      <c r="J38" s="2">
        <f>+F38*(1+I38)</f>
        <v>0</v>
      </c>
      <c r="K38" s="2"/>
      <c r="L38" s="2">
        <f>+G38*(1+K38)</f>
        <v>0</v>
      </c>
      <c r="M38" s="34">
        <f>+L38*J38</f>
        <v>0</v>
      </c>
      <c r="N38" s="34">
        <f t="shared" si="0"/>
        <v>0</v>
      </c>
    </row>
    <row r="39" spans="1:14" ht="12.75">
      <c r="A39" s="33"/>
      <c r="B39" s="2"/>
      <c r="C39" s="2"/>
      <c r="D39" s="2"/>
      <c r="E39" s="93">
        <f>+C39*D39/1000</f>
        <v>0</v>
      </c>
      <c r="F39" s="455"/>
      <c r="G39" s="455"/>
      <c r="H39" s="456">
        <f>+F39*G39</f>
        <v>0</v>
      </c>
      <c r="I39" s="2"/>
      <c r="J39" s="2">
        <f>+F39*(1+I39)</f>
        <v>0</v>
      </c>
      <c r="K39" s="2"/>
      <c r="L39" s="2">
        <f>+G39*(1+K39)</f>
        <v>0</v>
      </c>
      <c r="M39" s="34">
        <f>+L39*J39</f>
        <v>0</v>
      </c>
      <c r="N39" s="34">
        <f t="shared" si="0"/>
        <v>0</v>
      </c>
    </row>
    <row r="40" spans="1:14" ht="12.75">
      <c r="A40" s="91" t="s">
        <v>61</v>
      </c>
      <c r="B40" s="26"/>
      <c r="C40" s="30">
        <f>+SUM(C36:C39)</f>
        <v>0</v>
      </c>
      <c r="D40" s="26"/>
      <c r="E40" s="94">
        <f>+SUM(E38:E39)</f>
        <v>0</v>
      </c>
      <c r="F40" s="463">
        <f>+SUM(F36:F39)</f>
        <v>0</v>
      </c>
      <c r="G40" s="462"/>
      <c r="H40" s="466">
        <f>+SUM(H38:H39)</f>
        <v>0</v>
      </c>
      <c r="I40" s="26"/>
      <c r="J40" s="30">
        <f>+SUM(J36:J39)</f>
        <v>0</v>
      </c>
      <c r="K40" s="26"/>
      <c r="L40" s="26"/>
      <c r="M40" s="35">
        <f>+SUM(M36:M39)</f>
        <v>0</v>
      </c>
      <c r="N40" s="35">
        <f t="shared" si="0"/>
        <v>0</v>
      </c>
    </row>
    <row r="41" spans="1:14" ht="12.75">
      <c r="A41" s="90"/>
      <c r="B41" s="2"/>
      <c r="C41" s="2"/>
      <c r="D41" s="2"/>
      <c r="E41" s="93">
        <f>+C41*D41/1000</f>
        <v>0</v>
      </c>
      <c r="F41" s="455"/>
      <c r="G41" s="455"/>
      <c r="H41" s="456">
        <f>+F41*G41</f>
        <v>0</v>
      </c>
      <c r="I41" s="2"/>
      <c r="J41" s="2">
        <f>+F41*(1+I41)</f>
        <v>0</v>
      </c>
      <c r="K41" s="2"/>
      <c r="L41" s="2">
        <f>+G41*(1+K41)</f>
        <v>0</v>
      </c>
      <c r="M41" s="34">
        <f>+L41*J41</f>
        <v>0</v>
      </c>
      <c r="N41" s="34">
        <f t="shared" si="0"/>
        <v>0</v>
      </c>
    </row>
    <row r="42" spans="1:14" ht="12.75">
      <c r="A42" s="90"/>
      <c r="B42" s="2"/>
      <c r="C42" s="2"/>
      <c r="D42" s="2"/>
      <c r="E42" s="93">
        <f>+C42*D42/1000</f>
        <v>0</v>
      </c>
      <c r="F42" s="455"/>
      <c r="G42" s="455"/>
      <c r="H42" s="456">
        <f>+F42*G42</f>
        <v>0</v>
      </c>
      <c r="I42" s="2"/>
      <c r="J42" s="2">
        <f>+F42*(1+I42)</f>
        <v>0</v>
      </c>
      <c r="K42" s="2"/>
      <c r="L42" s="2">
        <f>+G42*(1+K42)</f>
        <v>0</v>
      </c>
      <c r="M42" s="34">
        <f>+L42*J42</f>
        <v>0</v>
      </c>
      <c r="N42" s="34">
        <f t="shared" si="0"/>
        <v>0</v>
      </c>
    </row>
    <row r="43" spans="1:14" ht="12.75">
      <c r="A43" s="90"/>
      <c r="B43" s="2"/>
      <c r="C43" s="2"/>
      <c r="D43" s="2"/>
      <c r="E43" s="93">
        <f>+C43*D43/1000</f>
        <v>0</v>
      </c>
      <c r="F43" s="455"/>
      <c r="G43" s="455"/>
      <c r="H43" s="456">
        <f>+F43*G43</f>
        <v>0</v>
      </c>
      <c r="I43" s="2"/>
      <c r="J43" s="2">
        <f>+F43*(1+I43)</f>
        <v>0</v>
      </c>
      <c r="K43" s="2"/>
      <c r="L43" s="2">
        <f>+G43*(1+K43)</f>
        <v>0</v>
      </c>
      <c r="M43" s="34">
        <f>+L43*J43</f>
        <v>0</v>
      </c>
      <c r="N43" s="34">
        <f t="shared" si="0"/>
        <v>0</v>
      </c>
    </row>
    <row r="44" spans="1:14" ht="12.75">
      <c r="A44" s="90"/>
      <c r="B44" s="2"/>
      <c r="C44" s="2"/>
      <c r="D44" s="2"/>
      <c r="E44" s="93">
        <f>+C44*D44/1000</f>
        <v>0</v>
      </c>
      <c r="F44" s="455"/>
      <c r="G44" s="455"/>
      <c r="H44" s="456">
        <f>+F44*G44</f>
        <v>0</v>
      </c>
      <c r="I44" s="2"/>
      <c r="J44" s="2">
        <f>+F44*(1+I44)</f>
        <v>0</v>
      </c>
      <c r="K44" s="2"/>
      <c r="L44" s="2">
        <f>+G44*(1+K44)</f>
        <v>0</v>
      </c>
      <c r="M44" s="34">
        <f>+L44*J44</f>
        <v>0</v>
      </c>
      <c r="N44" s="34">
        <f t="shared" si="0"/>
        <v>0</v>
      </c>
    </row>
    <row r="45" spans="1:14" ht="12.75">
      <c r="A45" s="91" t="s">
        <v>62</v>
      </c>
      <c r="B45" s="26"/>
      <c r="C45" s="30">
        <f>+SUM(C41:C44)</f>
        <v>0</v>
      </c>
      <c r="D45" s="26"/>
      <c r="E45" s="30">
        <f>+SUM(E41:E44)</f>
        <v>0</v>
      </c>
      <c r="F45" s="463">
        <f>+SUM(F41:F44)</f>
        <v>0</v>
      </c>
      <c r="G45" s="462"/>
      <c r="H45" s="463">
        <f>+SUM(H41:H44)</f>
        <v>0</v>
      </c>
      <c r="I45" s="26"/>
      <c r="J45" s="30">
        <f>+SUM(J41:J44)</f>
        <v>0</v>
      </c>
      <c r="K45" s="26"/>
      <c r="L45" s="26"/>
      <c r="M45" s="35">
        <f>+SUM(M41:M44)</f>
        <v>0</v>
      </c>
      <c r="N45" s="35">
        <f t="shared" si="0"/>
        <v>0</v>
      </c>
    </row>
    <row r="46" spans="1:14" ht="12.75">
      <c r="A46" s="90"/>
      <c r="B46" s="2"/>
      <c r="C46" s="2"/>
      <c r="D46" s="2"/>
      <c r="E46" s="93">
        <f>+C46*D46/1000</f>
        <v>0</v>
      </c>
      <c r="F46" s="455"/>
      <c r="G46" s="455"/>
      <c r="H46" s="456">
        <f>+F46*G46</f>
        <v>0</v>
      </c>
      <c r="I46" s="2"/>
      <c r="J46" s="2">
        <f>+F46*(1+I46)</f>
        <v>0</v>
      </c>
      <c r="K46" s="2"/>
      <c r="L46" s="2">
        <f>+G46*(1+K46)</f>
        <v>0</v>
      </c>
      <c r="M46" s="34">
        <f>+L46*J46</f>
        <v>0</v>
      </c>
      <c r="N46" s="34">
        <f t="shared" si="0"/>
        <v>0</v>
      </c>
    </row>
    <row r="47" spans="1:14" ht="12.75">
      <c r="A47" s="90"/>
      <c r="B47" s="2"/>
      <c r="C47" s="2"/>
      <c r="D47" s="2"/>
      <c r="E47" s="93">
        <f>+C47*D47/1000</f>
        <v>0</v>
      </c>
      <c r="F47" s="455"/>
      <c r="G47" s="455"/>
      <c r="H47" s="456">
        <f>+F47*G47</f>
        <v>0</v>
      </c>
      <c r="I47" s="2"/>
      <c r="J47" s="2">
        <f>+F47*(1+I47)</f>
        <v>0</v>
      </c>
      <c r="K47" s="2"/>
      <c r="L47" s="2">
        <f>+G47*(1+K47)</f>
        <v>0</v>
      </c>
      <c r="M47" s="34">
        <f>+L47*J47</f>
        <v>0</v>
      </c>
      <c r="N47" s="34">
        <f t="shared" si="0"/>
        <v>0</v>
      </c>
    </row>
    <row r="48" spans="1:14" ht="12.75">
      <c r="A48" s="90"/>
      <c r="B48" s="2"/>
      <c r="C48" s="2"/>
      <c r="D48" s="2"/>
      <c r="E48" s="93">
        <f>+C48*D48/1000</f>
        <v>0</v>
      </c>
      <c r="F48" s="455"/>
      <c r="G48" s="455"/>
      <c r="H48" s="456">
        <f>+F48*G48</f>
        <v>0</v>
      </c>
      <c r="I48" s="2"/>
      <c r="J48" s="2">
        <f>+F48*(1+I48)</f>
        <v>0</v>
      </c>
      <c r="K48" s="2"/>
      <c r="L48" s="2">
        <f>+G48*(1+K48)</f>
        <v>0</v>
      </c>
      <c r="M48" s="34">
        <f>+L48*J48</f>
        <v>0</v>
      </c>
      <c r="N48" s="34">
        <f t="shared" si="0"/>
        <v>0</v>
      </c>
    </row>
    <row r="49" spans="1:14" ht="12.75">
      <c r="A49" s="90"/>
      <c r="B49" s="2"/>
      <c r="C49" s="2"/>
      <c r="D49" s="2"/>
      <c r="E49" s="93">
        <f>+C49*D49/1000</f>
        <v>0</v>
      </c>
      <c r="F49" s="455"/>
      <c r="G49" s="455"/>
      <c r="H49" s="456">
        <f>+F49*G49</f>
        <v>0</v>
      </c>
      <c r="I49" s="2"/>
      <c r="J49" s="2">
        <f>+F49*(1+I49)</f>
        <v>0</v>
      </c>
      <c r="K49" s="2"/>
      <c r="L49" s="2">
        <f>+G49*(1+K49)</f>
        <v>0</v>
      </c>
      <c r="M49" s="34">
        <f>+L49*J49</f>
        <v>0</v>
      </c>
      <c r="N49" s="34">
        <f t="shared" si="0"/>
        <v>0</v>
      </c>
    </row>
    <row r="50" spans="1:14" ht="12.75">
      <c r="A50" s="91" t="s">
        <v>63</v>
      </c>
      <c r="B50" s="26"/>
      <c r="C50" s="30">
        <f>+SUM(C46:C49)</f>
        <v>0</v>
      </c>
      <c r="D50" s="26"/>
      <c r="E50" s="30">
        <f>+SUM(E46:E49)</f>
        <v>0</v>
      </c>
      <c r="F50" s="463">
        <f>+SUM(F46:F49)</f>
        <v>0</v>
      </c>
      <c r="G50" s="462"/>
      <c r="H50" s="463">
        <f>+SUM(H46:H49)</f>
        <v>0</v>
      </c>
      <c r="I50" s="26"/>
      <c r="J50" s="30">
        <f>+SUM(J46:J49)</f>
        <v>0</v>
      </c>
      <c r="K50" s="26"/>
      <c r="L50" s="26"/>
      <c r="M50" s="35">
        <f>+SUM(M46:M49)</f>
        <v>0</v>
      </c>
      <c r="N50" s="35">
        <f t="shared" si="0"/>
        <v>0</v>
      </c>
    </row>
    <row r="51" spans="1:14" ht="13.5" thickBot="1">
      <c r="A51" s="82" t="s">
        <v>65</v>
      </c>
      <c r="B51" s="83"/>
      <c r="C51" s="83"/>
      <c r="D51" s="83"/>
      <c r="E51" s="84">
        <f>+E50+E45+E40</f>
        <v>0</v>
      </c>
      <c r="F51" s="464"/>
      <c r="G51" s="464"/>
      <c r="H51" s="465">
        <f>+H50+H45+H40</f>
        <v>0</v>
      </c>
      <c r="I51" s="83"/>
      <c r="J51" s="83"/>
      <c r="K51" s="83"/>
      <c r="L51" s="83"/>
      <c r="M51" s="85">
        <f>+M50+M45+M40</f>
        <v>0</v>
      </c>
      <c r="N51" s="85">
        <f>+N50+N45+N40</f>
        <v>0</v>
      </c>
    </row>
    <row r="52" spans="1:14" ht="13.5" thickTop="1">
      <c r="A52" s="87" t="s">
        <v>66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89"/>
    </row>
    <row r="53" spans="1:14" ht="12.75">
      <c r="A53" s="33"/>
      <c r="B53" s="2"/>
      <c r="C53" s="2"/>
      <c r="D53" s="2"/>
      <c r="E53" s="93">
        <f>+C53*D53/1000</f>
        <v>0</v>
      </c>
      <c r="F53" s="455"/>
      <c r="G53" s="455"/>
      <c r="H53" s="456">
        <f>+F53*G53</f>
        <v>0</v>
      </c>
      <c r="I53" s="2"/>
      <c r="J53" s="2">
        <f>+F53*(1+I53)</f>
        <v>0</v>
      </c>
      <c r="K53" s="2"/>
      <c r="L53" s="2">
        <f>+G53*(1+K53)</f>
        <v>0</v>
      </c>
      <c r="M53" s="34">
        <f>+L53*J53</f>
        <v>0</v>
      </c>
      <c r="N53" s="34">
        <f>+G53*J53</f>
        <v>0</v>
      </c>
    </row>
    <row r="54" spans="1:14" ht="12.75">
      <c r="A54" s="33"/>
      <c r="B54" s="2"/>
      <c r="C54" s="2"/>
      <c r="D54" s="2"/>
      <c r="E54" s="93">
        <f>+C54*D54/1000</f>
        <v>0</v>
      </c>
      <c r="F54" s="455"/>
      <c r="G54" s="455"/>
      <c r="H54" s="456">
        <f>+F54*G54</f>
        <v>0</v>
      </c>
      <c r="I54" s="2"/>
      <c r="J54" s="2">
        <f>+F54*(1+I54)</f>
        <v>0</v>
      </c>
      <c r="K54" s="2"/>
      <c r="L54" s="2">
        <f>+G54*(1+K54)</f>
        <v>0</v>
      </c>
      <c r="M54" s="34">
        <f>+L54*J54</f>
        <v>0</v>
      </c>
      <c r="N54" s="34">
        <f>+G54*J54</f>
        <v>0</v>
      </c>
    </row>
    <row r="55" spans="1:14" ht="12.75">
      <c r="A55" s="33"/>
      <c r="B55" s="2"/>
      <c r="C55" s="2"/>
      <c r="D55" s="2"/>
      <c r="E55" s="93">
        <f>+C55*D55/1000</f>
        <v>0</v>
      </c>
      <c r="F55" s="455"/>
      <c r="G55" s="455"/>
      <c r="H55" s="456">
        <f>+F55*G55</f>
        <v>0</v>
      </c>
      <c r="I55" s="2"/>
      <c r="J55" s="2">
        <f>+F55*(1+I55)</f>
        <v>0</v>
      </c>
      <c r="K55" s="2"/>
      <c r="L55" s="2">
        <f>+G55*(1+K55)</f>
        <v>0</v>
      </c>
      <c r="M55" s="34">
        <f>+L55*J55</f>
        <v>0</v>
      </c>
      <c r="N55" s="34">
        <f>+G55*J55</f>
        <v>0</v>
      </c>
    </row>
    <row r="56" spans="1:14" ht="12.75">
      <c r="A56" s="91" t="s">
        <v>61</v>
      </c>
      <c r="B56" s="26"/>
      <c r="C56" s="30">
        <f>+SUM(C52:C55)</f>
        <v>0</v>
      </c>
      <c r="D56" s="26"/>
      <c r="E56" s="94">
        <f>+SUM(E54:E55)</f>
        <v>0</v>
      </c>
      <c r="F56" s="463">
        <f>+SUM(F52:F55)</f>
        <v>0</v>
      </c>
      <c r="G56" s="462"/>
      <c r="H56" s="466">
        <f>+SUM(H54:H55)</f>
        <v>0</v>
      </c>
      <c r="I56" s="26"/>
      <c r="J56" s="30">
        <f>+SUM(J52:J55)</f>
        <v>0</v>
      </c>
      <c r="K56" s="26"/>
      <c r="L56" s="26"/>
      <c r="M56" s="35">
        <f>+SUM(M52:M55)</f>
        <v>0</v>
      </c>
      <c r="N56" s="35">
        <f>+SUM(N52:N55)</f>
        <v>0</v>
      </c>
    </row>
    <row r="57" spans="1:14" ht="12.75">
      <c r="A57" s="90"/>
      <c r="B57" s="2"/>
      <c r="C57" s="2"/>
      <c r="D57" s="2"/>
      <c r="E57" s="93">
        <f>+C57*D57/1000</f>
        <v>0</v>
      </c>
      <c r="F57" s="455"/>
      <c r="G57" s="455"/>
      <c r="H57" s="456">
        <f>+F57*G57</f>
        <v>0</v>
      </c>
      <c r="I57" s="2"/>
      <c r="J57" s="2">
        <f>+F57*(1+I57)</f>
        <v>0</v>
      </c>
      <c r="K57" s="2"/>
      <c r="L57" s="2">
        <f>+G57*(1+K57)</f>
        <v>0</v>
      </c>
      <c r="M57" s="34">
        <f>+L57*J57</f>
        <v>0</v>
      </c>
      <c r="N57" s="34">
        <f>+G57*J57</f>
        <v>0</v>
      </c>
    </row>
    <row r="58" spans="1:14" ht="12.75">
      <c r="A58" s="90"/>
      <c r="B58" s="2"/>
      <c r="C58" s="2"/>
      <c r="D58" s="2"/>
      <c r="E58" s="93">
        <f>+C58*D58/1000</f>
        <v>0</v>
      </c>
      <c r="F58" s="455"/>
      <c r="G58" s="455"/>
      <c r="H58" s="456">
        <f>+F58*G58</f>
        <v>0</v>
      </c>
      <c r="I58" s="2"/>
      <c r="J58" s="2">
        <f>+F58*(1+I58)</f>
        <v>0</v>
      </c>
      <c r="K58" s="2"/>
      <c r="L58" s="2">
        <f>+G58*(1+K58)</f>
        <v>0</v>
      </c>
      <c r="M58" s="34">
        <f>+L58*J58</f>
        <v>0</v>
      </c>
      <c r="N58" s="34">
        <f>+G58*J58</f>
        <v>0</v>
      </c>
    </row>
    <row r="59" spans="1:14" ht="12.75">
      <c r="A59" s="90"/>
      <c r="B59" s="2"/>
      <c r="C59" s="2"/>
      <c r="D59" s="2"/>
      <c r="E59" s="93">
        <f>+C59*D59/1000</f>
        <v>0</v>
      </c>
      <c r="F59" s="455"/>
      <c r="G59" s="455"/>
      <c r="H59" s="456">
        <f>+F59*G59</f>
        <v>0</v>
      </c>
      <c r="I59" s="2"/>
      <c r="J59" s="2">
        <f>+F59*(1+I59)</f>
        <v>0</v>
      </c>
      <c r="K59" s="2"/>
      <c r="L59" s="2">
        <f>+G59*(1+K59)</f>
        <v>0</v>
      </c>
      <c r="M59" s="34">
        <f>+L59*J59</f>
        <v>0</v>
      </c>
      <c r="N59" s="34">
        <f>+G59*J59</f>
        <v>0</v>
      </c>
    </row>
    <row r="60" spans="1:14" ht="12.75">
      <c r="A60" s="90"/>
      <c r="B60" s="2"/>
      <c r="C60" s="2"/>
      <c r="D60" s="2"/>
      <c r="E60" s="93">
        <f>+C60*D60/1000</f>
        <v>0</v>
      </c>
      <c r="F60" s="455"/>
      <c r="G60" s="455"/>
      <c r="H60" s="456">
        <f>+F60*G60</f>
        <v>0</v>
      </c>
      <c r="I60" s="2"/>
      <c r="J60" s="2">
        <f>+F60*(1+I60)</f>
        <v>0</v>
      </c>
      <c r="K60" s="2"/>
      <c r="L60" s="2">
        <f>+G60*(1+K60)</f>
        <v>0</v>
      </c>
      <c r="M60" s="34">
        <f>+L60*J60</f>
        <v>0</v>
      </c>
      <c r="N60" s="34">
        <f>+G60*J60</f>
        <v>0</v>
      </c>
    </row>
    <row r="61" spans="1:14" ht="12.75">
      <c r="A61" s="91" t="s">
        <v>62</v>
      </c>
      <c r="B61" s="26"/>
      <c r="C61" s="30">
        <f>+SUM(C57:C60)</f>
        <v>0</v>
      </c>
      <c r="D61" s="26"/>
      <c r="E61" s="30">
        <f>+SUM(E57:E60)</f>
        <v>0</v>
      </c>
      <c r="F61" s="463">
        <f>+SUM(F57:F60)</f>
        <v>0</v>
      </c>
      <c r="G61" s="462"/>
      <c r="H61" s="463">
        <f>+SUM(H57:H60)</f>
        <v>0</v>
      </c>
      <c r="I61" s="26"/>
      <c r="J61" s="30">
        <f>+SUM(J57:J60)</f>
        <v>0</v>
      </c>
      <c r="K61" s="26"/>
      <c r="L61" s="26"/>
      <c r="M61" s="35">
        <f>+SUM(M57:M60)</f>
        <v>0</v>
      </c>
      <c r="N61" s="35">
        <f>+SUM(N57:N60)</f>
        <v>0</v>
      </c>
    </row>
    <row r="62" spans="1:14" ht="12.75">
      <c r="A62" s="90"/>
      <c r="B62" s="2"/>
      <c r="C62" s="2"/>
      <c r="D62" s="2"/>
      <c r="E62" s="93">
        <f>+C62*D62/1000</f>
        <v>0</v>
      </c>
      <c r="F62" s="455"/>
      <c r="G62" s="455"/>
      <c r="H62" s="456">
        <f>+F62*G62</f>
        <v>0</v>
      </c>
      <c r="I62" s="2"/>
      <c r="J62" s="2">
        <f>+F62*(1+I62)</f>
        <v>0</v>
      </c>
      <c r="K62" s="2"/>
      <c r="L62" s="2">
        <f>+G62*(1+K62)</f>
        <v>0</v>
      </c>
      <c r="M62" s="34">
        <f>+L62*J62</f>
        <v>0</v>
      </c>
      <c r="N62" s="34">
        <f>+G62*J62</f>
        <v>0</v>
      </c>
    </row>
    <row r="63" spans="1:14" ht="12.75">
      <c r="A63" s="90"/>
      <c r="B63" s="2"/>
      <c r="C63" s="2"/>
      <c r="D63" s="2"/>
      <c r="E63" s="93">
        <f>+C63*D63/1000</f>
        <v>0</v>
      </c>
      <c r="F63" s="455"/>
      <c r="G63" s="455"/>
      <c r="H63" s="456">
        <f>+F63*G63</f>
        <v>0</v>
      </c>
      <c r="I63" s="2"/>
      <c r="J63" s="2">
        <f>+F63*(1+I63)</f>
        <v>0</v>
      </c>
      <c r="K63" s="2"/>
      <c r="L63" s="2">
        <f>+G63*(1+K63)</f>
        <v>0</v>
      </c>
      <c r="M63" s="34">
        <f>+L63*J63</f>
        <v>0</v>
      </c>
      <c r="N63" s="34">
        <f>+G63*J63</f>
        <v>0</v>
      </c>
    </row>
    <row r="64" spans="1:14" ht="12.75">
      <c r="A64" s="90"/>
      <c r="B64" s="2"/>
      <c r="C64" s="2"/>
      <c r="D64" s="2"/>
      <c r="E64" s="93">
        <f>+C64*D64/1000</f>
        <v>0</v>
      </c>
      <c r="F64" s="455"/>
      <c r="G64" s="455"/>
      <c r="H64" s="456">
        <f>+F64*G64</f>
        <v>0</v>
      </c>
      <c r="I64" s="2"/>
      <c r="J64" s="2">
        <f>+F64*(1+I64)</f>
        <v>0</v>
      </c>
      <c r="K64" s="2"/>
      <c r="L64" s="2">
        <f>+G64*(1+K64)</f>
        <v>0</v>
      </c>
      <c r="M64" s="34">
        <f>+L64*J64</f>
        <v>0</v>
      </c>
      <c r="N64" s="34">
        <f>+G64*J64</f>
        <v>0</v>
      </c>
    </row>
    <row r="65" spans="1:14" ht="12.75">
      <c r="A65" s="90"/>
      <c r="B65" s="2"/>
      <c r="C65" s="2"/>
      <c r="D65" s="2"/>
      <c r="E65" s="93">
        <f>+C65*D65/1000</f>
        <v>0</v>
      </c>
      <c r="F65" s="455"/>
      <c r="G65" s="455"/>
      <c r="H65" s="456">
        <f>+F65*G65</f>
        <v>0</v>
      </c>
      <c r="I65" s="2"/>
      <c r="J65" s="2">
        <f>+F65*(1+I65)</f>
        <v>0</v>
      </c>
      <c r="K65" s="2"/>
      <c r="L65" s="2">
        <f>+G65*(1+K65)</f>
        <v>0</v>
      </c>
      <c r="M65" s="34">
        <f>+L65*J65</f>
        <v>0</v>
      </c>
      <c r="N65" s="34">
        <f>+G65*J65</f>
        <v>0</v>
      </c>
    </row>
    <row r="66" spans="1:14" ht="12.75">
      <c r="A66" s="91" t="s">
        <v>63</v>
      </c>
      <c r="B66" s="26"/>
      <c r="C66" s="30">
        <f>+SUM(C62:C65)</f>
        <v>0</v>
      </c>
      <c r="D66" s="26"/>
      <c r="E66" s="30">
        <f>+SUM(E62:E65)</f>
        <v>0</v>
      </c>
      <c r="F66" s="463">
        <f>+SUM(F62:F65)</f>
        <v>0</v>
      </c>
      <c r="G66" s="462"/>
      <c r="H66" s="463">
        <f>+SUM(H62:H65)</f>
        <v>0</v>
      </c>
      <c r="I66" s="26"/>
      <c r="J66" s="30">
        <f>+SUM(J62:J65)</f>
        <v>0</v>
      </c>
      <c r="K66" s="26"/>
      <c r="L66" s="26"/>
      <c r="M66" s="35">
        <f>+SUM(M62:M65)</f>
        <v>0</v>
      </c>
      <c r="N66" s="35">
        <f>+G66*J66</f>
        <v>0</v>
      </c>
    </row>
    <row r="67" spans="1:14" s="86" customFormat="1" ht="13.5" thickBot="1">
      <c r="A67" s="82" t="s">
        <v>67</v>
      </c>
      <c r="B67" s="83"/>
      <c r="C67" s="83"/>
      <c r="D67" s="83"/>
      <c r="E67" s="84">
        <f>+E66+E61+E56</f>
        <v>0</v>
      </c>
      <c r="F67" s="464"/>
      <c r="G67" s="464"/>
      <c r="H67" s="465">
        <f>+H66+H61+H56</f>
        <v>0</v>
      </c>
      <c r="I67" s="83"/>
      <c r="J67" s="83"/>
      <c r="K67" s="83"/>
      <c r="L67" s="83"/>
      <c r="M67" s="84">
        <f>+M66+M61+M56</f>
        <v>0</v>
      </c>
      <c r="N67" s="84">
        <f>+N66+N61+N56</f>
        <v>0</v>
      </c>
    </row>
    <row r="68" ht="13.5" thickTop="1"/>
  </sheetData>
  <sheetProtection/>
  <mergeCells count="1">
    <mergeCell ref="C8:E8"/>
  </mergeCells>
  <printOptions horizontalCentered="1"/>
  <pageMargins left="0.31496062992125984" right="0.2362204724409449" top="1" bottom="1" header="0.5118110236220472" footer="0.5118110236220472"/>
  <pageSetup fitToHeight="1" fitToWidth="1" horizontalDpi="240" verticalDpi="24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5"/>
  <sheetViews>
    <sheetView showGridLines="0" showZeros="0" zoomScalePageLayoutView="0" workbookViewId="0" topLeftCell="A1">
      <selection activeCell="D4" sqref="D4"/>
    </sheetView>
  </sheetViews>
  <sheetFormatPr defaultColWidth="0" defaultRowHeight="12.75" zeroHeight="1"/>
  <cols>
    <col min="1" max="1" width="35.421875" style="371" customWidth="1"/>
    <col min="2" max="2" width="6.8515625" style="371" customWidth="1"/>
    <col min="3" max="3" width="8.8515625" style="371" customWidth="1"/>
    <col min="4" max="4" width="11.00390625" style="371" customWidth="1"/>
    <col min="5" max="5" width="11.421875" style="371" customWidth="1"/>
    <col min="6" max="6" width="13.140625" style="371" customWidth="1"/>
    <col min="7" max="7" width="11.421875" style="371" customWidth="1"/>
    <col min="8" max="8" width="15.140625" style="371" customWidth="1"/>
    <col min="9" max="9" width="10.7109375" style="371" customWidth="1"/>
    <col min="10" max="10" width="13.00390625" style="371" customWidth="1"/>
    <col min="11" max="16" width="11.421875" style="371" customWidth="1"/>
    <col min="17" max="17" width="12.8515625" style="371" customWidth="1"/>
    <col min="18" max="19" width="11.421875" style="371" customWidth="1"/>
    <col min="20" max="20" width="13.57421875" style="371" customWidth="1"/>
    <col min="21" max="29" width="11.421875" style="371" customWidth="1"/>
    <col min="30" max="30" width="13.8515625" style="371" customWidth="1"/>
    <col min="31" max="31" width="14.00390625" style="371" customWidth="1"/>
    <col min="32" max="35" width="11.421875" style="371" customWidth="1"/>
    <col min="36" max="36" width="11.421875" style="357" customWidth="1"/>
    <col min="37" max="37" width="0" style="357" hidden="1" customWidth="1"/>
    <col min="38" max="38" width="13.00390625" style="357" hidden="1" customWidth="1"/>
    <col min="39" max="41" width="0" style="357" hidden="1" customWidth="1"/>
    <col min="42" max="42" width="5.00390625" style="357" hidden="1" customWidth="1"/>
    <col min="43" max="43" width="25.8515625" style="357" hidden="1" customWidth="1"/>
    <col min="44" max="47" width="0" style="360" hidden="1" customWidth="1"/>
    <col min="48" max="48" width="13.28125" style="360" hidden="1" customWidth="1"/>
    <col min="49" max="49" width="5.00390625" style="360" hidden="1" customWidth="1"/>
    <col min="50" max="16384" width="0" style="360" hidden="1" customWidth="1"/>
  </cols>
  <sheetData>
    <row r="1" spans="1:49" ht="18" customHeight="1">
      <c r="A1" s="509" t="s">
        <v>279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356"/>
      <c r="AG1" s="356"/>
      <c r="AH1" s="356"/>
      <c r="AI1" s="356"/>
      <c r="AK1" s="358"/>
      <c r="AL1" s="358"/>
      <c r="AM1" s="358"/>
      <c r="AP1" s="358"/>
      <c r="AQ1" s="358"/>
      <c r="AR1" s="359"/>
      <c r="AS1" s="359"/>
      <c r="AT1" s="359"/>
      <c r="AU1" s="359"/>
      <c r="AV1" s="359"/>
      <c r="AW1" s="359"/>
    </row>
    <row r="2" spans="1:49" ht="18" customHeight="1">
      <c r="A2" s="509" t="s">
        <v>216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356"/>
      <c r="AG2" s="356"/>
      <c r="AH2" s="356"/>
      <c r="AI2" s="356"/>
      <c r="AK2" s="358"/>
      <c r="AL2" s="358"/>
      <c r="AM2" s="358"/>
      <c r="AP2" s="358"/>
      <c r="AQ2" s="358"/>
      <c r="AR2" s="359"/>
      <c r="AS2" s="359"/>
      <c r="AT2" s="359"/>
      <c r="AU2" s="359"/>
      <c r="AV2" s="359"/>
      <c r="AW2" s="359"/>
    </row>
    <row r="3" spans="1:49" ht="18" customHeight="1">
      <c r="A3" s="361" t="s">
        <v>311</v>
      </c>
      <c r="B3" s="360"/>
      <c r="C3" s="360"/>
      <c r="D3" s="360"/>
      <c r="E3" s="360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K3" s="358"/>
      <c r="AL3" s="358"/>
      <c r="AM3" s="358"/>
      <c r="AP3" s="358"/>
      <c r="AQ3" s="358"/>
      <c r="AR3" s="359"/>
      <c r="AS3" s="359"/>
      <c r="AT3" s="359"/>
      <c r="AU3" s="359"/>
      <c r="AV3" s="359"/>
      <c r="AW3" s="359"/>
    </row>
    <row r="4" spans="1:49" ht="18" customHeight="1">
      <c r="A4" s="376" t="s">
        <v>300</v>
      </c>
      <c r="B4" s="362"/>
      <c r="C4" s="362"/>
      <c r="D4" s="362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60"/>
      <c r="AK4" s="358"/>
      <c r="AL4" s="358"/>
      <c r="AM4" s="358"/>
      <c r="AP4" s="358"/>
      <c r="AQ4" s="358"/>
      <c r="AR4" s="359"/>
      <c r="AS4" s="359"/>
      <c r="AT4" s="359"/>
      <c r="AU4" s="359"/>
      <c r="AV4" s="359"/>
      <c r="AW4" s="359"/>
    </row>
    <row r="5" spans="1:49" ht="12">
      <c r="A5" s="510" t="s">
        <v>369</v>
      </c>
      <c r="B5" s="510"/>
      <c r="C5" s="510"/>
      <c r="D5" s="362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K5" s="358"/>
      <c r="AL5" s="358"/>
      <c r="AM5" s="358"/>
      <c r="AP5" s="358"/>
      <c r="AQ5" s="358"/>
      <c r="AR5" s="359"/>
      <c r="AS5" s="359"/>
      <c r="AT5" s="359"/>
      <c r="AU5" s="359"/>
      <c r="AV5" s="359"/>
      <c r="AW5" s="359"/>
    </row>
    <row r="6" spans="1:49" ht="13.5" thickBot="1">
      <c r="A6" s="292"/>
      <c r="B6" s="293" t="s">
        <v>68</v>
      </c>
      <c r="C6" s="292"/>
      <c r="D6" s="294">
        <v>1.05</v>
      </c>
      <c r="E6" s="292"/>
      <c r="F6" s="292" t="s">
        <v>68</v>
      </c>
      <c r="G6" s="292" t="s">
        <v>68</v>
      </c>
      <c r="H6" s="292" t="s">
        <v>68</v>
      </c>
      <c r="I6" s="292"/>
      <c r="J6" s="292"/>
      <c r="K6" s="292"/>
      <c r="L6" s="292"/>
      <c r="M6" s="292"/>
      <c r="N6" s="292"/>
      <c r="O6" s="292"/>
      <c r="P6" s="292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411" t="s">
        <v>143</v>
      </c>
      <c r="AE6" s="378"/>
      <c r="AF6" s="378"/>
      <c r="AG6" s="378"/>
      <c r="AH6" s="378"/>
      <c r="AI6" s="368"/>
      <c r="AK6" s="363"/>
      <c r="AL6" s="364"/>
      <c r="AM6" s="365"/>
      <c r="AP6" s="358"/>
      <c r="AQ6" s="358"/>
      <c r="AR6" s="359"/>
      <c r="AS6" s="359"/>
      <c r="AT6" s="359"/>
      <c r="AU6" s="359"/>
      <c r="AV6" s="359"/>
      <c r="AW6" s="359"/>
    </row>
    <row r="7" spans="1:49" ht="13.5" customHeight="1" thickBot="1">
      <c r="A7" s="519" t="s">
        <v>320</v>
      </c>
      <c r="B7" s="519" t="s">
        <v>321</v>
      </c>
      <c r="C7" s="519" t="s">
        <v>322</v>
      </c>
      <c r="D7" s="522" t="s">
        <v>157</v>
      </c>
      <c r="E7" s="523"/>
      <c r="F7" s="524"/>
      <c r="G7" s="525" t="s">
        <v>145</v>
      </c>
      <c r="H7" s="526"/>
      <c r="I7" s="527" t="s">
        <v>323</v>
      </c>
      <c r="J7" s="528"/>
      <c r="K7" s="528"/>
      <c r="L7" s="528"/>
      <c r="M7" s="528"/>
      <c r="N7" s="529" t="s">
        <v>324</v>
      </c>
      <c r="O7" s="529" t="s">
        <v>325</v>
      </c>
      <c r="P7" s="520" t="s">
        <v>368</v>
      </c>
      <c r="Q7" s="511" t="s">
        <v>146</v>
      </c>
      <c r="R7" s="512"/>
      <c r="S7" s="513" t="s">
        <v>370</v>
      </c>
      <c r="T7" s="513" t="s">
        <v>371</v>
      </c>
      <c r="U7" s="516"/>
      <c r="V7" s="517"/>
      <c r="W7" s="517"/>
      <c r="X7" s="517"/>
      <c r="Y7" s="517"/>
      <c r="Z7" s="517"/>
      <c r="AA7" s="517"/>
      <c r="AB7" s="517"/>
      <c r="AC7" s="517"/>
      <c r="AD7" s="518"/>
      <c r="AE7" s="513" t="s">
        <v>372</v>
      </c>
      <c r="AF7" s="368"/>
      <c r="AG7" s="368"/>
      <c r="AH7" s="368"/>
      <c r="AI7" s="368"/>
      <c r="AK7" s="363"/>
      <c r="AL7" s="364"/>
      <c r="AM7" s="365"/>
      <c r="AP7" s="358"/>
      <c r="AQ7" s="358"/>
      <c r="AR7" s="359"/>
      <c r="AS7" s="359"/>
      <c r="AT7" s="359"/>
      <c r="AU7" s="359"/>
      <c r="AV7" s="359"/>
      <c r="AW7" s="359"/>
    </row>
    <row r="8" spans="1:49" ht="42.75" thickBot="1">
      <c r="A8" s="515"/>
      <c r="B8" s="515"/>
      <c r="C8" s="515"/>
      <c r="D8" s="297" t="s">
        <v>149</v>
      </c>
      <c r="E8" s="298" t="s">
        <v>326</v>
      </c>
      <c r="F8" s="299" t="s">
        <v>150</v>
      </c>
      <c r="G8" s="300" t="s">
        <v>327</v>
      </c>
      <c r="H8" s="301" t="s">
        <v>328</v>
      </c>
      <c r="I8" s="302" t="s">
        <v>329</v>
      </c>
      <c r="J8" s="302" t="s">
        <v>330</v>
      </c>
      <c r="K8" s="302" t="s">
        <v>331</v>
      </c>
      <c r="L8" s="302" t="s">
        <v>332</v>
      </c>
      <c r="M8" s="303" t="s">
        <v>333</v>
      </c>
      <c r="N8" s="530"/>
      <c r="O8" s="515"/>
      <c r="P8" s="521"/>
      <c r="Q8" s="295" t="s">
        <v>373</v>
      </c>
      <c r="R8" s="389" t="s">
        <v>374</v>
      </c>
      <c r="S8" s="514"/>
      <c r="T8" s="515"/>
      <c r="U8" s="390" t="s">
        <v>375</v>
      </c>
      <c r="V8" s="390" t="s">
        <v>376</v>
      </c>
      <c r="W8" s="390" t="s">
        <v>377</v>
      </c>
      <c r="X8" s="390" t="s">
        <v>378</v>
      </c>
      <c r="Y8" s="390" t="s">
        <v>147</v>
      </c>
      <c r="Z8" s="391" t="s">
        <v>379</v>
      </c>
      <c r="AA8" s="390" t="s">
        <v>380</v>
      </c>
      <c r="AB8" s="390" t="s">
        <v>381</v>
      </c>
      <c r="AC8" s="390" t="s">
        <v>382</v>
      </c>
      <c r="AD8" s="390" t="s">
        <v>58</v>
      </c>
      <c r="AE8" s="515"/>
      <c r="AF8" s="369"/>
      <c r="AG8" s="369"/>
      <c r="AH8" s="369"/>
      <c r="AI8" s="369"/>
      <c r="AK8" s="363"/>
      <c r="AL8" s="364"/>
      <c r="AM8" s="365"/>
      <c r="AP8" s="358"/>
      <c r="AQ8" s="358"/>
      <c r="AR8" s="359"/>
      <c r="AS8" s="359"/>
      <c r="AT8" s="359"/>
      <c r="AU8" s="359"/>
      <c r="AV8" s="359"/>
      <c r="AW8" s="359"/>
    </row>
    <row r="9" spans="1:49" ht="13.5" thickBot="1">
      <c r="A9" s="304">
        <v>1</v>
      </c>
      <c r="B9" s="305">
        <v>2</v>
      </c>
      <c r="C9" s="306">
        <v>3</v>
      </c>
      <c r="D9" s="307">
        <v>4.1</v>
      </c>
      <c r="E9" s="422"/>
      <c r="F9" s="420">
        <v>4</v>
      </c>
      <c r="G9" s="308">
        <v>6</v>
      </c>
      <c r="H9" s="309">
        <v>7</v>
      </c>
      <c r="I9" s="310">
        <v>9</v>
      </c>
      <c r="J9" s="310">
        <v>10</v>
      </c>
      <c r="K9" s="310">
        <v>11</v>
      </c>
      <c r="L9" s="310">
        <v>12</v>
      </c>
      <c r="M9" s="311">
        <v>13</v>
      </c>
      <c r="N9" s="312">
        <v>14</v>
      </c>
      <c r="O9" s="312"/>
      <c r="P9" s="384">
        <v>15</v>
      </c>
      <c r="Q9" s="313"/>
      <c r="R9" s="392">
        <v>16</v>
      </c>
      <c r="S9" s="310"/>
      <c r="T9" s="296"/>
      <c r="U9" s="393">
        <v>17</v>
      </c>
      <c r="V9" s="394">
        <v>18</v>
      </c>
      <c r="W9" s="395">
        <v>19</v>
      </c>
      <c r="X9" s="310">
        <v>20</v>
      </c>
      <c r="Y9" s="314">
        <v>21</v>
      </c>
      <c r="Z9" s="396">
        <v>22</v>
      </c>
      <c r="AA9" s="397">
        <v>23</v>
      </c>
      <c r="AB9" s="395">
        <v>24</v>
      </c>
      <c r="AC9" s="395">
        <v>25</v>
      </c>
      <c r="AD9" s="398"/>
      <c r="AE9" s="315">
        <v>26</v>
      </c>
      <c r="AF9" s="369"/>
      <c r="AG9" s="369"/>
      <c r="AH9" s="369"/>
      <c r="AI9" s="369"/>
      <c r="AK9" s="363"/>
      <c r="AL9" s="364"/>
      <c r="AM9" s="365"/>
      <c r="AP9" s="358"/>
      <c r="AQ9" s="358"/>
      <c r="AR9" s="359"/>
      <c r="AS9" s="359"/>
      <c r="AT9" s="359"/>
      <c r="AU9" s="359"/>
      <c r="AV9" s="359"/>
      <c r="AW9" s="359"/>
    </row>
    <row r="10" spans="1:49" ht="12.75" thickBot="1">
      <c r="A10" s="305" t="s">
        <v>151</v>
      </c>
      <c r="B10" s="313"/>
      <c r="C10" s="313">
        <f>SUM(C11:C15)</f>
        <v>7</v>
      </c>
      <c r="D10" s="312">
        <f>+D11+(D12*2)+D13+(D14*2)+D15</f>
        <v>43215006.449999996</v>
      </c>
      <c r="E10" s="423"/>
      <c r="F10" s="421">
        <f>SUM(F11:F15)</f>
        <v>518580077.4</v>
      </c>
      <c r="G10" s="314"/>
      <c r="H10" s="315"/>
      <c r="I10" s="314">
        <f aca="true" t="shared" si="0" ref="I10:P10">SUM(I11:I15)</f>
        <v>16054989</v>
      </c>
      <c r="J10" s="314">
        <f t="shared" si="0"/>
        <v>23604657</v>
      </c>
      <c r="K10" s="314">
        <f t="shared" si="0"/>
        <v>24588183</v>
      </c>
      <c r="L10" s="314">
        <f t="shared" si="0"/>
        <v>51225383</v>
      </c>
      <c r="M10" s="315">
        <f t="shared" si="0"/>
        <v>2881000.4299999997</v>
      </c>
      <c r="N10" s="312">
        <f t="shared" si="0"/>
        <v>31876690</v>
      </c>
      <c r="O10" s="312">
        <f t="shared" si="0"/>
        <v>227413349.5</v>
      </c>
      <c r="P10" s="355">
        <f t="shared" si="0"/>
        <v>259290039.5</v>
      </c>
      <c r="Q10" s="399">
        <f>SUM(Q13:Q15)</f>
        <v>0</v>
      </c>
      <c r="R10" s="309">
        <f>SUM(R11:R15)</f>
        <v>0</v>
      </c>
      <c r="S10" s="310"/>
      <c r="T10" s="310"/>
      <c r="U10" s="314">
        <f aca="true" t="shared" si="1" ref="U10:AE10">SUM(U11:U15)</f>
        <v>55494166</v>
      </c>
      <c r="V10" s="400">
        <f t="shared" si="1"/>
        <v>42523045.247999996</v>
      </c>
      <c r="W10" s="401">
        <f t="shared" si="1"/>
        <v>0</v>
      </c>
      <c r="X10" s="401">
        <f t="shared" si="1"/>
        <v>2957191</v>
      </c>
      <c r="Y10" s="401">
        <f t="shared" si="1"/>
        <v>18441137.892</v>
      </c>
      <c r="Z10" s="314">
        <f t="shared" si="1"/>
        <v>12294092</v>
      </c>
      <c r="AA10" s="400">
        <f t="shared" si="1"/>
        <v>24588183</v>
      </c>
      <c r="AB10" s="401">
        <f t="shared" si="1"/>
        <v>26304978</v>
      </c>
      <c r="AC10" s="401">
        <f t="shared" si="1"/>
        <v>48153499</v>
      </c>
      <c r="AD10" s="400">
        <f t="shared" si="1"/>
        <v>230756292.14</v>
      </c>
      <c r="AE10" s="402">
        <f t="shared" si="1"/>
        <v>1126980621.47</v>
      </c>
      <c r="AF10" s="377"/>
      <c r="AG10" s="377"/>
      <c r="AH10" s="377"/>
      <c r="AI10" s="377"/>
      <c r="AK10" s="363"/>
      <c r="AL10" s="364"/>
      <c r="AM10" s="365"/>
      <c r="AP10" s="358"/>
      <c r="AQ10" s="358"/>
      <c r="AR10" s="359"/>
      <c r="AS10" s="359"/>
      <c r="AT10" s="359"/>
      <c r="AU10" s="359"/>
      <c r="AV10" s="359"/>
      <c r="AW10" s="359"/>
    </row>
    <row r="11" spans="1:49" ht="18" customHeight="1">
      <c r="A11" s="316" t="s">
        <v>334</v>
      </c>
      <c r="B11" s="317" t="s">
        <v>335</v>
      </c>
      <c r="C11" s="318">
        <v>1</v>
      </c>
      <c r="D11" s="319">
        <f>7975499*D6</f>
        <v>8374273.95</v>
      </c>
      <c r="E11" s="424"/>
      <c r="F11" s="321">
        <f>+D11*12*C11</f>
        <v>100491287.4</v>
      </c>
      <c r="G11" s="320">
        <f>ROUND(IF(D11&lt;1071200,63600*12*C11,),0)</f>
        <v>0</v>
      </c>
      <c r="H11" s="321">
        <f>ROUND(IF(D11&lt;1156023,41221*12*C11,),0)</f>
        <v>0</v>
      </c>
      <c r="I11" s="320">
        <f>ROUND((IF(D11+(N11)/12&gt;=1133355,(D11+(N11)/12)*35%*C11,(D11+(N11)/12)*50%*C11)),0)</f>
        <v>2930996</v>
      </c>
      <c r="J11" s="320">
        <f>ROUND(((F11+I11+G11+H11+N11)/24),0)</f>
        <v>4309262</v>
      </c>
      <c r="K11" s="320">
        <f>ROUND(((+F11+I11+H11+G11+N11+J11)/24),0)</f>
        <v>4488814</v>
      </c>
      <c r="L11" s="320">
        <f>ROUND(((F11+I11+H11+G11+J11+K11+N11)/12),0)</f>
        <v>9351697</v>
      </c>
      <c r="M11" s="321">
        <f>+F11/180</f>
        <v>558284.93</v>
      </c>
      <c r="N11" s="322">
        <v>0</v>
      </c>
      <c r="O11" s="322">
        <f>ROUND(((D11/2)*12*C11),0)</f>
        <v>50245644</v>
      </c>
      <c r="P11" s="385">
        <f>SUM(N11:O11)</f>
        <v>50245644</v>
      </c>
      <c r="Q11" s="322">
        <v>0</v>
      </c>
      <c r="R11" s="385">
        <f>SUM(Q11)</f>
        <v>0</v>
      </c>
      <c r="S11" s="320">
        <v>0</v>
      </c>
      <c r="T11" s="320">
        <v>0</v>
      </c>
      <c r="U11" s="320">
        <f>ROUND(((F11+I11+H11+G11+N11+J11+K11+L11+S11)/12),0)</f>
        <v>10131005</v>
      </c>
      <c r="V11" s="321">
        <f>((+F11+N11+S11+I11)*12%)</f>
        <v>12410674.008</v>
      </c>
      <c r="W11" s="320">
        <v>0</v>
      </c>
      <c r="X11" s="320">
        <f>ROUND(((+F11+N11+S11+I11)*0.522%),0)</f>
        <v>539864</v>
      </c>
      <c r="Y11" s="320">
        <f>(+F11+N11+S11+H11+I11+J11+K11)*3%</f>
        <v>3366610.782</v>
      </c>
      <c r="Z11" s="320">
        <f>ROUND(((F11+N11+S11+H11+I11+J11+K11)*2%),0)</f>
        <v>2244407</v>
      </c>
      <c r="AA11" s="321">
        <f>ROUND(((+F11+N11+S11+H11+I11+J11+K11)*4%),0)</f>
        <v>4488814</v>
      </c>
      <c r="AB11" s="320">
        <v>0</v>
      </c>
      <c r="AC11" s="320">
        <f>ROUND(((+F11+N11+S11+I11)*8.5%),0)</f>
        <v>8790894</v>
      </c>
      <c r="AD11" s="321">
        <f>SUM(U11:AC11)</f>
        <v>41972268.79000001</v>
      </c>
      <c r="AE11" s="322">
        <f>F11+G11+H11+I11+J11+K11+L11+M11+P11+R11+S11+T11+AD11</f>
        <v>214348254.12</v>
      </c>
      <c r="AF11" s="381"/>
      <c r="AG11" s="381"/>
      <c r="AH11" s="381"/>
      <c r="AI11" s="381"/>
      <c r="AK11" s="363"/>
      <c r="AL11" s="364"/>
      <c r="AM11" s="366"/>
      <c r="AP11" s="358"/>
      <c r="AQ11" s="358"/>
      <c r="AR11" s="359"/>
      <c r="AS11" s="359"/>
      <c r="AT11" s="359"/>
      <c r="AU11" s="359"/>
      <c r="AV11" s="359"/>
      <c r="AW11" s="359"/>
    </row>
    <row r="12" spans="1:49" ht="18" customHeight="1">
      <c r="A12" s="316" t="s">
        <v>336</v>
      </c>
      <c r="B12" s="317" t="s">
        <v>337</v>
      </c>
      <c r="C12" s="318">
        <v>2</v>
      </c>
      <c r="D12" s="323">
        <f>6241190*D6</f>
        <v>6553249.5</v>
      </c>
      <c r="E12" s="424"/>
      <c r="F12" s="321">
        <f>+D12*12*C12</f>
        <v>157277988</v>
      </c>
      <c r="G12" s="320">
        <f>ROUND(IF(D12&lt;1071200,63600*12*C12,),0)</f>
        <v>0</v>
      </c>
      <c r="H12" s="321">
        <f>ROUND(IF(D12&lt;1156023,41221*12*C12,),0)</f>
        <v>0</v>
      </c>
      <c r="I12" s="320">
        <f>ROUND((IF(D12+(N12)/12&gt;=1133355,(D12+(N12)/12)*35%*C12,(D12+(N12)/12)*50%*C12)),0)</f>
        <v>4587275</v>
      </c>
      <c r="J12" s="320">
        <f>ROUND(((F12+I12+G12+H12+N12)/24),0)</f>
        <v>6744386</v>
      </c>
      <c r="K12" s="320">
        <f>ROUND(((+F12+I12+H12+G12+N12+J12)/24),0)</f>
        <v>7025402</v>
      </c>
      <c r="L12" s="320">
        <f>ROUND(((F12+I12+H12+G12+J12+K12+N12)/12),0)</f>
        <v>14636254</v>
      </c>
      <c r="M12" s="321">
        <f>+F12/180</f>
        <v>873766.6</v>
      </c>
      <c r="N12" s="320">
        <v>0</v>
      </c>
      <c r="O12" s="320">
        <f>ROUND(((D12/2)*12*C12),0)</f>
        <v>78638994</v>
      </c>
      <c r="P12" s="321">
        <f>SUM(N12:O12)</f>
        <v>78638994</v>
      </c>
      <c r="Q12" s="320">
        <v>0</v>
      </c>
      <c r="R12" s="321">
        <f>SUM(Q12)</f>
        <v>0</v>
      </c>
      <c r="S12" s="320">
        <v>0</v>
      </c>
      <c r="T12" s="320">
        <v>0</v>
      </c>
      <c r="U12" s="320">
        <f>ROUND(((F12+I12+H12+G12+N12+J12+K12+L12+S12)/12),0)</f>
        <v>15855942</v>
      </c>
      <c r="V12" s="321">
        <f>((+F12+N12+S12+I12)*12%)</f>
        <v>19423831.56</v>
      </c>
      <c r="W12" s="320">
        <v>0</v>
      </c>
      <c r="X12" s="320">
        <f>ROUND(((+F12+N12+S12+I12)*0.522%),0)</f>
        <v>844937</v>
      </c>
      <c r="Y12" s="320">
        <f>(+F12+N12+S12+H12+I12+J12+K12)*3%</f>
        <v>5269051.53</v>
      </c>
      <c r="Z12" s="320">
        <f>ROUND(((F12+N12+S12+H12+I12+J12+K12)*2%),0)</f>
        <v>3512701</v>
      </c>
      <c r="AA12" s="321">
        <f>ROUND(((+F12+N12+S12+H12+I12+J12+K12)*4%),0)</f>
        <v>7025402</v>
      </c>
      <c r="AB12" s="320">
        <v>0</v>
      </c>
      <c r="AC12" s="320">
        <f>ROUND(((+F12+N12+S12+I12)*8.5%),0)</f>
        <v>13758547</v>
      </c>
      <c r="AD12" s="321">
        <f>SUM(U12:AC12)</f>
        <v>65690412.09</v>
      </c>
      <c r="AE12" s="320">
        <f>F12+G12+H12+I12+J12+K12+L12+M12+P12+R12+S12+T12+AD12</f>
        <v>335474477.69000006</v>
      </c>
      <c r="AK12" s="367"/>
      <c r="AP12" s="358"/>
      <c r="AQ12" s="358"/>
      <c r="AR12" s="359"/>
      <c r="AS12" s="359"/>
      <c r="AT12" s="359"/>
      <c r="AU12" s="359"/>
      <c r="AV12" s="359"/>
      <c r="AW12" s="359"/>
    </row>
    <row r="13" spans="1:49" ht="18" customHeight="1">
      <c r="A13" s="324" t="s">
        <v>338</v>
      </c>
      <c r="B13" s="325" t="s">
        <v>339</v>
      </c>
      <c r="C13" s="326">
        <v>1</v>
      </c>
      <c r="D13" s="323">
        <f>6241190*D6</f>
        <v>6553249.5</v>
      </c>
      <c r="E13" s="425"/>
      <c r="F13" s="328">
        <f>+D13*12*C13</f>
        <v>78638994</v>
      </c>
      <c r="G13" s="320">
        <f>ROUND(IF(D13&lt;1071200,63600*12*C13,),0)</f>
        <v>0</v>
      </c>
      <c r="H13" s="321">
        <f>ROUND(IF(D13&lt;1156023,41221*12*C13,),0)</f>
        <v>0</v>
      </c>
      <c r="I13" s="320">
        <f>ROUND((IF(D13+(N13)/12&gt;=1133355,(D13+(N13)/12)*35%*C13,(D13+(N13)/12)*50%*C13)),0)</f>
        <v>2293637</v>
      </c>
      <c r="J13" s="327">
        <f>ROUND(((F13+I13+G13+H13+N13)/24),0)</f>
        <v>3372193</v>
      </c>
      <c r="K13" s="327">
        <f>ROUND(((+F13+I13+H13+G13+N13+J13)/24),0)</f>
        <v>3512701</v>
      </c>
      <c r="L13" s="327">
        <f>ROUND(((F13+I13+H13+G13+J13+K13+N13)/12),0)</f>
        <v>7318127</v>
      </c>
      <c r="M13" s="328">
        <f>+F13/180</f>
        <v>436883.3</v>
      </c>
      <c r="N13" s="327">
        <v>0</v>
      </c>
      <c r="O13" s="327">
        <f>ROUND(((D13/2)*12*C13),0)</f>
        <v>39319497</v>
      </c>
      <c r="P13" s="328">
        <f>SUM(N13:O13)</f>
        <v>39319497</v>
      </c>
      <c r="Q13" s="327">
        <v>0</v>
      </c>
      <c r="R13" s="328">
        <f>SUM(Q13)</f>
        <v>0</v>
      </c>
      <c r="S13" s="327">
        <v>0</v>
      </c>
      <c r="T13" s="327">
        <v>0</v>
      </c>
      <c r="U13" s="327">
        <f>ROUND(((F13+I13+H13+G13+N13+J13+K13+L13+S13)/12),0)</f>
        <v>7927971</v>
      </c>
      <c r="V13" s="328">
        <v>0</v>
      </c>
      <c r="W13" s="327">
        <v>0</v>
      </c>
      <c r="X13" s="327">
        <f>ROUND(((+F13+N13+S13+I13)*0.522%),0)</f>
        <v>422468</v>
      </c>
      <c r="Y13" s="327">
        <f>(+F13+N13+S13+H13+I13+J13+K13)*3%</f>
        <v>2634525.75</v>
      </c>
      <c r="Z13" s="327">
        <f>ROUND(((F13+N13+S13+H13+I13+J13+K13)*2%),0)</f>
        <v>1756351</v>
      </c>
      <c r="AA13" s="328">
        <f>ROUND(((+F13+N13+S13+H13+I13+J13+K13)*4%),0)</f>
        <v>3512701</v>
      </c>
      <c r="AB13" s="327">
        <f>ROUND((((+F13+E13+N13+S13+I13)*12%)/1*1),0)</f>
        <v>9711916</v>
      </c>
      <c r="AC13" s="327">
        <f>ROUND(((+F13+N13+S13+I13)*8.5%),0)</f>
        <v>6879274</v>
      </c>
      <c r="AD13" s="328">
        <f>SUM(U13:AC13)</f>
        <v>32845206.75</v>
      </c>
      <c r="AE13" s="327">
        <f>F13+G13+H13+I13+J13+K13+L13+M13+P13+R13+S13+T13+AD13</f>
        <v>167737239.05</v>
      </c>
      <c r="AF13" s="372"/>
      <c r="AH13" s="372"/>
      <c r="AI13" s="372"/>
      <c r="AK13" s="367"/>
      <c r="AP13" s="358"/>
      <c r="AQ13" s="358"/>
      <c r="AR13" s="359"/>
      <c r="AS13" s="359"/>
      <c r="AT13" s="359"/>
      <c r="AU13" s="359"/>
      <c r="AV13" s="359"/>
      <c r="AW13" s="359"/>
    </row>
    <row r="14" spans="1:49" s="375" customFormat="1" ht="18" customHeight="1">
      <c r="A14" s="427" t="s">
        <v>340</v>
      </c>
      <c r="B14" s="428" t="s">
        <v>341</v>
      </c>
      <c r="C14" s="429">
        <v>2</v>
      </c>
      <c r="D14" s="430">
        <f>5059792*D6</f>
        <v>5312781.600000001</v>
      </c>
      <c r="E14" s="431"/>
      <c r="F14" s="432">
        <f>+D14*12*C14</f>
        <v>127506758.4</v>
      </c>
      <c r="G14" s="433">
        <f>ROUND(IF(D14&lt;1071200,63600*12*C14,),0)</f>
        <v>0</v>
      </c>
      <c r="H14" s="432">
        <f>ROUND(IF(D14&lt;1156023,41221*12*C14,),0)</f>
        <v>0</v>
      </c>
      <c r="I14" s="433">
        <f>ROUND((IF(D14+(N14)/24&gt;=1133355,(D14+(N14)/24)*35%*C14,(D14+(N14)/24)*50%*C14)),0)</f>
        <v>4648684</v>
      </c>
      <c r="J14" s="433">
        <f>ROUND(((F14+I14+G14+H14+N14)/24),0)</f>
        <v>6834672</v>
      </c>
      <c r="K14" s="433">
        <f>ROUND(((+F14+I14+H14+G14+(N14)+J14)/24),0)</f>
        <v>7119450</v>
      </c>
      <c r="L14" s="433">
        <f>ROUND(((F14+I14+H14+G14+J14+K14+N14)/12),0)</f>
        <v>14832188</v>
      </c>
      <c r="M14" s="432">
        <f>+F14/180</f>
        <v>708370.88</v>
      </c>
      <c r="N14" s="433">
        <f>ROUND(((D14/2)*12*1),0)</f>
        <v>31876690</v>
      </c>
      <c r="O14" s="433">
        <f>ROUND(((D14/2)*12*C14),0)/2</f>
        <v>31876689.5</v>
      </c>
      <c r="P14" s="432">
        <f>SUM(N14:O14)</f>
        <v>63753379.5</v>
      </c>
      <c r="Q14" s="433">
        <v>0</v>
      </c>
      <c r="R14" s="432">
        <f>SUM(Q14)</f>
        <v>0</v>
      </c>
      <c r="S14" s="433">
        <v>0</v>
      </c>
      <c r="T14" s="433">
        <v>0</v>
      </c>
      <c r="U14" s="433">
        <f>ROUND(((F14+I14+H14+G14+N14+J14+K14+L14+S14)/12),0)</f>
        <v>16068204</v>
      </c>
      <c r="V14" s="432">
        <f>((89071164)*12%)</f>
        <v>10688539.68</v>
      </c>
      <c r="W14" s="433">
        <v>0</v>
      </c>
      <c r="X14" s="433">
        <f>ROUND(((+F14+N14+S14+I14)*0.522%),0)</f>
        <v>856248</v>
      </c>
      <c r="Y14" s="433">
        <f>(+F14+N14+S14+H14+I14+J14+K14)*3%</f>
        <v>5339587.632</v>
      </c>
      <c r="Z14" s="433">
        <f>ROUND(((F14+N14+S14+H14+I14+J14+K14)*2%),0)</f>
        <v>3559725</v>
      </c>
      <c r="AA14" s="432">
        <f>ROUND(((+F14+N14+S14+H14+I14+J14+K14)*4%),0)</f>
        <v>7119450</v>
      </c>
      <c r="AB14" s="433">
        <f>ROUND((((+F14+E14+N14+S14+I14)*12%)/2*1),0)</f>
        <v>9841928</v>
      </c>
      <c r="AC14" s="433">
        <f>ROUND(((+F14+N14+S14+I14)*8.5%),0)</f>
        <v>13942731</v>
      </c>
      <c r="AD14" s="432">
        <f>SUM(U14:AC14)</f>
        <v>67416413.312</v>
      </c>
      <c r="AE14" s="433">
        <f>F14+G14+H14+I14+J14+K14+L14+M14+P14+R14+S14+T14+AD14</f>
        <v>292819916.092</v>
      </c>
      <c r="AF14" s="372"/>
      <c r="AG14" s="372"/>
      <c r="AH14" s="372"/>
      <c r="AI14" s="372"/>
      <c r="AJ14" s="371"/>
      <c r="AK14" s="434"/>
      <c r="AL14" s="371"/>
      <c r="AM14" s="371"/>
      <c r="AN14" s="371"/>
      <c r="AO14" s="371"/>
      <c r="AP14" s="373"/>
      <c r="AQ14" s="373"/>
      <c r="AR14" s="435"/>
      <c r="AS14" s="435"/>
      <c r="AT14" s="435"/>
      <c r="AU14" s="435"/>
      <c r="AV14" s="435"/>
      <c r="AW14" s="435"/>
    </row>
    <row r="15" spans="1:49" ht="18" customHeight="1" thickBot="1">
      <c r="A15" s="316" t="s">
        <v>342</v>
      </c>
      <c r="B15" s="317" t="s">
        <v>343</v>
      </c>
      <c r="C15" s="318">
        <v>1</v>
      </c>
      <c r="D15" s="329">
        <f>4338496*D6</f>
        <v>4555420.8</v>
      </c>
      <c r="E15" s="424"/>
      <c r="F15" s="321">
        <f>+D15*12*C15</f>
        <v>54665049.599999994</v>
      </c>
      <c r="G15" s="320">
        <f>ROUND(IF(D15&lt;1071200,63600*12*C15,),0)</f>
        <v>0</v>
      </c>
      <c r="H15" s="321">
        <f>ROUND(IF(D15&lt;1156023,41221*12*C15,),0)</f>
        <v>0</v>
      </c>
      <c r="I15" s="320">
        <f>ROUND((IF(D15+(N15)/12&gt;=1133355,(D15+(N15)/12)*35%*C15,(D15+(N15)/12)*50%*C15)),0)</f>
        <v>1594397</v>
      </c>
      <c r="J15" s="320">
        <f>ROUND(((F15+I15+G15+H15+N15)/24),0)</f>
        <v>2344144</v>
      </c>
      <c r="K15" s="320">
        <f>ROUND(((+F15+I15+H15+G15+N15+J15)/24),0)</f>
        <v>2441816</v>
      </c>
      <c r="L15" s="320">
        <f>ROUND(((F15+I15+H15+G15+J15+K15+N15)/12),0)</f>
        <v>5087117</v>
      </c>
      <c r="M15" s="321">
        <f>+F15/180</f>
        <v>303694.72</v>
      </c>
      <c r="N15" s="320">
        <v>0</v>
      </c>
      <c r="O15" s="320">
        <f>ROUND(((D15/2)*12*C15),0)</f>
        <v>27332525</v>
      </c>
      <c r="P15" s="386">
        <f>SUM(N15:O15)</f>
        <v>27332525</v>
      </c>
      <c r="Q15" s="403">
        <v>0</v>
      </c>
      <c r="R15" s="386">
        <f>SUM(Q15)</f>
        <v>0</v>
      </c>
      <c r="S15" s="320">
        <v>0</v>
      </c>
      <c r="T15" s="320">
        <v>0</v>
      </c>
      <c r="U15" s="320">
        <f>ROUND(((F15+I15+H15+G15+N15+J15+K15+L15+S15)/12),0)</f>
        <v>5511044</v>
      </c>
      <c r="V15" s="321">
        <v>0</v>
      </c>
      <c r="W15" s="320">
        <v>0</v>
      </c>
      <c r="X15" s="320">
        <f>ROUND(((+F15+N15+S15+I15)*0.522%),0)</f>
        <v>293674</v>
      </c>
      <c r="Y15" s="320">
        <f>(+F15+N15+S15+H15+I15+J15+K15)*3%</f>
        <v>1831362.1979999999</v>
      </c>
      <c r="Z15" s="320">
        <f>ROUND(((F15+N15+S15+H15+I15+J15+K15)*2%),0)</f>
        <v>1220908</v>
      </c>
      <c r="AA15" s="321">
        <f>ROUND(((+F15+N15+S15+H15+I15+J15+K15)*4%),0)</f>
        <v>2441816</v>
      </c>
      <c r="AB15" s="320">
        <f>ROUND((((+F15+E15+N15+S15+I15)*12%)/1*1),0)</f>
        <v>6751134</v>
      </c>
      <c r="AC15" s="320">
        <f>ROUND(((+F15+N15+S15+I15)*8.5%),0)</f>
        <v>4782053</v>
      </c>
      <c r="AD15" s="321">
        <f>SUM(U15:AC15)</f>
        <v>22831991.198</v>
      </c>
      <c r="AE15" s="403">
        <f>F15+G15+H15+I15+J15+K15+L15+M15+P15+R15+S15+T15+AD15</f>
        <v>116600734.51799999</v>
      </c>
      <c r="AF15" s="372"/>
      <c r="AG15" s="372"/>
      <c r="AH15" s="372"/>
      <c r="AI15" s="372"/>
      <c r="AJ15" s="367"/>
      <c r="AK15" s="367"/>
      <c r="AP15" s="358"/>
      <c r="AQ15" s="358"/>
      <c r="AR15" s="359"/>
      <c r="AS15" s="359"/>
      <c r="AT15" s="359"/>
      <c r="AU15" s="359"/>
      <c r="AV15" s="359"/>
      <c r="AW15" s="359"/>
    </row>
    <row r="16" spans="1:49" ht="18" customHeight="1" thickBot="1">
      <c r="A16" s="330" t="s">
        <v>152</v>
      </c>
      <c r="B16" s="331"/>
      <c r="C16" s="332">
        <f>SUM(C17:C19)</f>
        <v>3</v>
      </c>
      <c r="D16" s="333">
        <f>+D17+D18+D19</f>
        <v>15766704.450000001</v>
      </c>
      <c r="E16" s="408"/>
      <c r="F16" s="336">
        <f>SUM(F17:F19)</f>
        <v>189200453.4</v>
      </c>
      <c r="G16" s="335">
        <f>SUM(G17:G19)</f>
        <v>0</v>
      </c>
      <c r="H16" s="336"/>
      <c r="I16" s="337">
        <f aca="true" t="shared" si="2" ref="I16:R16">SUM(I17:I19)</f>
        <v>6480269</v>
      </c>
      <c r="J16" s="337">
        <f t="shared" si="2"/>
        <v>9527539</v>
      </c>
      <c r="K16" s="337">
        <f t="shared" si="2"/>
        <v>9924519</v>
      </c>
      <c r="L16" s="337">
        <f t="shared" si="2"/>
        <v>20676082</v>
      </c>
      <c r="M16" s="336">
        <f t="shared" si="2"/>
        <v>1051113.6300000001</v>
      </c>
      <c r="N16" s="337">
        <f t="shared" si="2"/>
        <v>32980204</v>
      </c>
      <c r="O16" s="337">
        <f t="shared" si="2"/>
        <v>61620023</v>
      </c>
      <c r="P16" s="336">
        <f t="shared" si="2"/>
        <v>94600227</v>
      </c>
      <c r="Q16" s="404">
        <f t="shared" si="2"/>
        <v>0</v>
      </c>
      <c r="R16" s="405">
        <f t="shared" si="2"/>
        <v>0</v>
      </c>
      <c r="S16" s="337">
        <v>0</v>
      </c>
      <c r="T16" s="337">
        <v>0</v>
      </c>
      <c r="U16" s="337">
        <f aca="true" t="shared" si="3" ref="U16:AE16">SUM(U17:U19)</f>
        <v>22399089</v>
      </c>
      <c r="V16" s="336">
        <f t="shared" si="3"/>
        <v>20365275.912</v>
      </c>
      <c r="W16" s="337">
        <f t="shared" si="3"/>
        <v>0</v>
      </c>
      <c r="X16" s="337">
        <f t="shared" si="3"/>
        <v>1193611</v>
      </c>
      <c r="Y16" s="337">
        <f t="shared" si="3"/>
        <v>7443389.532000001</v>
      </c>
      <c r="Z16" s="337">
        <f t="shared" si="3"/>
        <v>4962260</v>
      </c>
      <c r="AA16" s="336">
        <f t="shared" si="3"/>
        <v>9924519</v>
      </c>
      <c r="AB16" s="337">
        <f t="shared" si="3"/>
        <v>7074035</v>
      </c>
      <c r="AC16" s="337">
        <f t="shared" si="3"/>
        <v>19436178</v>
      </c>
      <c r="AD16" s="336">
        <f t="shared" si="3"/>
        <v>92798357.444</v>
      </c>
      <c r="AE16" s="404">
        <f t="shared" si="3"/>
        <v>424258560.474</v>
      </c>
      <c r="AF16" s="372"/>
      <c r="AG16" s="372"/>
      <c r="AH16" s="372"/>
      <c r="AI16" s="372"/>
      <c r="AK16" s="367"/>
      <c r="AP16" s="358"/>
      <c r="AQ16" s="358"/>
      <c r="AR16" s="359"/>
      <c r="AS16" s="359"/>
      <c r="AT16" s="359"/>
      <c r="AU16" s="359"/>
      <c r="AV16" s="359"/>
      <c r="AW16" s="359"/>
    </row>
    <row r="17" spans="1:49" ht="18" customHeight="1">
      <c r="A17" s="316" t="s">
        <v>344</v>
      </c>
      <c r="B17" s="317" t="s">
        <v>345</v>
      </c>
      <c r="C17" s="415">
        <v>1</v>
      </c>
      <c r="D17" s="338">
        <f>4546003*D6</f>
        <v>4773303.15</v>
      </c>
      <c r="E17" s="424"/>
      <c r="F17" s="321">
        <f>+D17*12*C17</f>
        <v>57279637.800000004</v>
      </c>
      <c r="G17" s="320">
        <f>ROUND(IF(D17&lt;1071200,63600*12*C17,),0)</f>
        <v>0</v>
      </c>
      <c r="H17" s="321">
        <f>ROUND(IF(D17&lt;1156023,41221*12*C17,),0)</f>
        <v>0</v>
      </c>
      <c r="I17" s="320">
        <f>ROUND((IF(D17+(N17)/12&gt;=1133355,(D17+(N17)/12)*35%*C17,(D17+(N17)/12)*50%*C17)),0)</f>
        <v>1670656</v>
      </c>
      <c r="J17" s="320">
        <f>ROUND(((F17+I17+G17+H17+N17)/24),0)</f>
        <v>2456262</v>
      </c>
      <c r="K17" s="320">
        <f>ROUND(((+F17+I17+H17+G17+N17+J17)/24),0)</f>
        <v>2558606</v>
      </c>
      <c r="L17" s="320">
        <f>ROUND(((F17+I17+H17+G17+J17+K17+N17)/12),0)</f>
        <v>5330430</v>
      </c>
      <c r="M17" s="321">
        <f>+F17/180</f>
        <v>318220.21</v>
      </c>
      <c r="N17" s="320">
        <v>0</v>
      </c>
      <c r="O17" s="320">
        <f>ROUND(((D17/2)*12*1),0)</f>
        <v>28639819</v>
      </c>
      <c r="P17" s="321">
        <f>SUM(N17:O17)</f>
        <v>28639819</v>
      </c>
      <c r="Q17" s="320">
        <v>0</v>
      </c>
      <c r="R17" s="321">
        <f>SUM(Q17)</f>
        <v>0</v>
      </c>
      <c r="S17" s="320">
        <v>0</v>
      </c>
      <c r="T17" s="320">
        <v>0</v>
      </c>
      <c r="U17" s="320">
        <f>ROUND(((F17+I17+H17+G17+N17+J17+K17+L17+S17)/12),0)</f>
        <v>5774633</v>
      </c>
      <c r="V17" s="321">
        <v>0</v>
      </c>
      <c r="W17" s="320">
        <v>0</v>
      </c>
      <c r="X17" s="320">
        <f>ROUND(((+F17+N17+S17+I17)*0.522%),0)</f>
        <v>307721</v>
      </c>
      <c r="Y17" s="320">
        <f>(+F17+N17+S17+H17+I17+J17+K17)*3%</f>
        <v>1918954.854</v>
      </c>
      <c r="Z17" s="320">
        <f>ROUND(((F17+N17+S17+H17+I17+J17+K17)*2%),0)</f>
        <v>1279303</v>
      </c>
      <c r="AA17" s="321">
        <f>ROUND(((+F17+N17+S17+H17+I17+J17+K17)*4%),0)</f>
        <v>2558606</v>
      </c>
      <c r="AB17" s="320">
        <f>ROUND((((+F17+E17+N17+S17+I17)*12%)/1*1),0)</f>
        <v>7074035</v>
      </c>
      <c r="AC17" s="320">
        <f>ROUND(((+F17+N17+S17+I17)*8.5%),0)</f>
        <v>5010775</v>
      </c>
      <c r="AD17" s="321">
        <f>SUM(U17:AC17)</f>
        <v>23924027.854000002</v>
      </c>
      <c r="AE17" s="320">
        <f>F17+G17+H17+I17+J17+K17+L17+M17+P17+R17+S17+T17+AD17</f>
        <v>122177658.86400001</v>
      </c>
      <c r="AF17" s="372"/>
      <c r="AG17" s="372"/>
      <c r="AH17" s="372"/>
      <c r="AI17" s="372"/>
      <c r="AK17" s="367"/>
      <c r="AP17" s="358"/>
      <c r="AQ17" s="358"/>
      <c r="AR17" s="359"/>
      <c r="AS17" s="359"/>
      <c r="AT17" s="359"/>
      <c r="AU17" s="359"/>
      <c r="AV17" s="359"/>
      <c r="AW17" s="359"/>
    </row>
    <row r="18" spans="1:49" s="375" customFormat="1" ht="18" customHeight="1">
      <c r="A18" s="427" t="s">
        <v>342</v>
      </c>
      <c r="B18" s="428" t="s">
        <v>346</v>
      </c>
      <c r="C18" s="436">
        <v>1</v>
      </c>
      <c r="D18" s="437">
        <f>5234953*D6</f>
        <v>5496700.65</v>
      </c>
      <c r="E18" s="431"/>
      <c r="F18" s="432">
        <f>+D18*12*C18</f>
        <v>65960407.800000004</v>
      </c>
      <c r="G18" s="433">
        <f>ROUND(IF(D18&lt;1071200,63600*12*C18,),0)</f>
        <v>0</v>
      </c>
      <c r="H18" s="432">
        <f>ROUND(IF(D18&lt;1156023,41221*12*C18,),0)</f>
        <v>0</v>
      </c>
      <c r="I18" s="433">
        <f>ROUND((IF(D18+(N18)/12&gt;=1133355,(D18+(N18)/12)*35%*C18,(D18+(N18)/12)*50%*C18)),0)</f>
        <v>2885768</v>
      </c>
      <c r="J18" s="433">
        <f>ROUND(((F18+I18+G18+H18+N18)/24),0)</f>
        <v>4242766</v>
      </c>
      <c r="K18" s="433">
        <f>ROUND(((+F18+I18+H18+G18+N18+J18)/24),0)</f>
        <v>4419548</v>
      </c>
      <c r="L18" s="433">
        <f>ROUND(((F18+I18+H18+G18+J18+K18+N18)/12),0)</f>
        <v>9207391</v>
      </c>
      <c r="M18" s="432">
        <f>+F18/180</f>
        <v>366446.71</v>
      </c>
      <c r="N18" s="433">
        <f>ROUND(((D18/2)*12*1),0)</f>
        <v>32980204</v>
      </c>
      <c r="O18" s="433">
        <v>0</v>
      </c>
      <c r="P18" s="432">
        <f>SUM(N18:O18)</f>
        <v>32980204</v>
      </c>
      <c r="Q18" s="433">
        <v>0</v>
      </c>
      <c r="R18" s="432">
        <f>SUM(Q18)</f>
        <v>0</v>
      </c>
      <c r="S18" s="433">
        <v>0</v>
      </c>
      <c r="T18" s="433">
        <v>0</v>
      </c>
      <c r="U18" s="433">
        <f>ROUND(((F18+I18+H18+G18+N18+J18+K18+L18+S18)/12),0)</f>
        <v>9974674</v>
      </c>
      <c r="V18" s="432">
        <f>((+F18+N18+S18+I18)*12%)</f>
        <v>12219165.576000001</v>
      </c>
      <c r="W18" s="433">
        <v>0</v>
      </c>
      <c r="X18" s="433">
        <f>ROUND(((+F18+N18+S18+I18)*0.522%),0)</f>
        <v>531534</v>
      </c>
      <c r="Y18" s="433">
        <f>(+F18+N18+S18+H18+I18+J18+K18)*3%</f>
        <v>3314660.8140000002</v>
      </c>
      <c r="Z18" s="433">
        <f>ROUND(((F18+N18+S18+H18+I18+J18+K18)*2%),0)</f>
        <v>2209774</v>
      </c>
      <c r="AA18" s="432">
        <f>ROUND(((+F18+N18+S18+H18+I18+J18+K18)*4%),0)</f>
        <v>4419548</v>
      </c>
      <c r="AB18" s="433">
        <v>0</v>
      </c>
      <c r="AC18" s="433">
        <f>ROUND(((+F18+N18+S18+I18)*8.5%),0)</f>
        <v>8655242</v>
      </c>
      <c r="AD18" s="432">
        <f>SUM(U18:AC18)</f>
        <v>41324598.39</v>
      </c>
      <c r="AE18" s="433">
        <f>F18+G18+H18+I18+J18+K18+L18+M18+P18+R18+S18+T18+AD18</f>
        <v>161387129.9</v>
      </c>
      <c r="AF18" s="372"/>
      <c r="AG18" s="372"/>
      <c r="AH18" s="372"/>
      <c r="AI18" s="372"/>
      <c r="AJ18" s="371"/>
      <c r="AK18" s="434"/>
      <c r="AL18" s="371"/>
      <c r="AM18" s="371"/>
      <c r="AN18" s="371"/>
      <c r="AO18" s="371"/>
      <c r="AP18" s="373"/>
      <c r="AQ18" s="373"/>
      <c r="AR18" s="435"/>
      <c r="AS18" s="435"/>
      <c r="AT18" s="435"/>
      <c r="AU18" s="435"/>
      <c r="AV18" s="435"/>
      <c r="AW18" s="435"/>
    </row>
    <row r="19" spans="1:49" ht="18" customHeight="1" thickBot="1">
      <c r="A19" s="316" t="s">
        <v>342</v>
      </c>
      <c r="B19" s="317" t="s">
        <v>346</v>
      </c>
      <c r="C19" s="416">
        <v>1</v>
      </c>
      <c r="D19" s="339">
        <f>5234953*D6</f>
        <v>5496700.65</v>
      </c>
      <c r="E19" s="424"/>
      <c r="F19" s="321">
        <f>+D19*12*C19</f>
        <v>65960407.800000004</v>
      </c>
      <c r="G19" s="320">
        <f>ROUND(IF(D19&lt;1071200,63600*12*C19,),0)</f>
        <v>0</v>
      </c>
      <c r="H19" s="321">
        <f>ROUND(IF(D19&lt;1156023,41221*12*C19,),0)</f>
        <v>0</v>
      </c>
      <c r="I19" s="320">
        <f>ROUND((IF(D19+(N19)/12&gt;=1133355,(D19+(N19)/12)*35%*C19,(D19+(N19)/12)*50%*C19)),0)</f>
        <v>1923845</v>
      </c>
      <c r="J19" s="320">
        <f>ROUND(((F19+I19+G19+H19+N19)/24),0)</f>
        <v>2828511</v>
      </c>
      <c r="K19" s="320">
        <f>ROUND(((+F19+I19+H19+G19+N19+J19)/24),0)</f>
        <v>2946365</v>
      </c>
      <c r="L19" s="320">
        <f>ROUND(((F19+I19+H19+G19+J19+K19+N19)/12),0)</f>
        <v>6138261</v>
      </c>
      <c r="M19" s="321">
        <f>+F19/180</f>
        <v>366446.71</v>
      </c>
      <c r="N19" s="320">
        <v>0</v>
      </c>
      <c r="O19" s="320">
        <f>ROUND(((D19/2)*12*C19),0)</f>
        <v>32980204</v>
      </c>
      <c r="P19" s="321">
        <f>SUM(N19:O19)</f>
        <v>32980204</v>
      </c>
      <c r="Q19" s="320">
        <v>0</v>
      </c>
      <c r="R19" s="321">
        <f>SUM(Q19)</f>
        <v>0</v>
      </c>
      <c r="S19" s="320">
        <v>0</v>
      </c>
      <c r="T19" s="320">
        <v>0</v>
      </c>
      <c r="U19" s="320">
        <f>ROUND(((F19+I19+H19+G19+N19+J19+K19+L19+S19)/12),0)</f>
        <v>6649782</v>
      </c>
      <c r="V19" s="321">
        <f>((+F19+N19+S19+I19)*12%)</f>
        <v>8146110.336000001</v>
      </c>
      <c r="W19" s="320">
        <v>0</v>
      </c>
      <c r="X19" s="320">
        <f>ROUND(((+F19+N19+S19+I19)*0.522%),0)</f>
        <v>354356</v>
      </c>
      <c r="Y19" s="320">
        <f>(+F19+N19+S19+H19+I19+J19+K19)*3%</f>
        <v>2209773.864</v>
      </c>
      <c r="Z19" s="320">
        <f>ROUND(((F19+N19+S19+H19+I19+J19+K19)*2%),0)</f>
        <v>1473183</v>
      </c>
      <c r="AA19" s="321">
        <f>ROUND(((+F19+N19+S19+H19+I19+J19+K19)*4%),0)</f>
        <v>2946365</v>
      </c>
      <c r="AB19" s="320">
        <v>0</v>
      </c>
      <c r="AC19" s="320">
        <f>ROUND(((+F19+N19+S19+I19)*8.5%),0)</f>
        <v>5770161</v>
      </c>
      <c r="AD19" s="321">
        <f>SUM(U19:AC19)</f>
        <v>27549731.200000003</v>
      </c>
      <c r="AE19" s="320">
        <f>F19+G19+H19+I19+J19+K19+L19+M19+P19+R19+S19+T19+AD19</f>
        <v>140693771.71</v>
      </c>
      <c r="AF19" s="372"/>
      <c r="AG19" s="372"/>
      <c r="AH19" s="372"/>
      <c r="AI19" s="372"/>
      <c r="AK19" s="367"/>
      <c r="AP19" s="358"/>
      <c r="AQ19" s="358"/>
      <c r="AR19" s="359"/>
      <c r="AS19" s="359"/>
      <c r="AT19" s="359"/>
      <c r="AU19" s="359"/>
      <c r="AV19" s="359"/>
      <c r="AW19" s="359"/>
    </row>
    <row r="20" spans="1:49" ht="18" customHeight="1" thickBot="1">
      <c r="A20" s="330" t="s">
        <v>153</v>
      </c>
      <c r="B20" s="340"/>
      <c r="C20" s="417">
        <f>SUM(C21:C25)</f>
        <v>60</v>
      </c>
      <c r="D20" s="412">
        <f>+(D21*10)+(D22*8)+(D23*6)+(D24*22)+(D25*13)</f>
        <v>145957125.3</v>
      </c>
      <c r="E20" s="408"/>
      <c r="F20" s="336">
        <f>SUM(F21:F25)</f>
        <v>1791645483.6000001</v>
      </c>
      <c r="G20" s="340"/>
      <c r="H20" s="341"/>
      <c r="I20" s="337">
        <f>SUM(I21:I25)</f>
        <v>52256326</v>
      </c>
      <c r="J20" s="337">
        <f>SUM(J21:J25)</f>
        <v>76829242</v>
      </c>
      <c r="K20" s="337">
        <f>SUM(K21:K25)</f>
        <v>80030460</v>
      </c>
      <c r="L20" s="337">
        <f>SUM(L21:L25)</f>
        <v>166730126</v>
      </c>
      <c r="M20" s="336">
        <f>SUM(M21:M25)</f>
        <v>9953586.020000001</v>
      </c>
      <c r="N20" s="340">
        <v>0</v>
      </c>
      <c r="O20" s="340">
        <v>0</v>
      </c>
      <c r="P20" s="336">
        <f>SUM(P21:P25)</f>
        <v>0</v>
      </c>
      <c r="Q20" s="337">
        <f>SUM(Q21:Q24)</f>
        <v>60650120</v>
      </c>
      <c r="R20" s="334">
        <f>SUM(R21:R24)</f>
        <v>60650120</v>
      </c>
      <c r="S20" s="337">
        <f>SUM(S21:S24)</f>
        <v>0</v>
      </c>
      <c r="T20" s="337">
        <v>0</v>
      </c>
      <c r="U20" s="337">
        <f aca="true" t="shared" si="4" ref="U20:AE20">SUM(U21:U25)</f>
        <v>180624303</v>
      </c>
      <c r="V20" s="336">
        <f t="shared" si="4"/>
        <v>83585769.8675105</v>
      </c>
      <c r="W20" s="337">
        <f t="shared" si="4"/>
        <v>0</v>
      </c>
      <c r="X20" s="337">
        <f t="shared" si="4"/>
        <v>9625167</v>
      </c>
      <c r="Y20" s="337">
        <f t="shared" si="4"/>
        <v>60022845.348000005</v>
      </c>
      <c r="Z20" s="337">
        <f t="shared" si="4"/>
        <v>40015231</v>
      </c>
      <c r="AA20" s="336">
        <f t="shared" si="4"/>
        <v>80030460</v>
      </c>
      <c r="AB20" s="337">
        <f t="shared" si="4"/>
        <v>137682447</v>
      </c>
      <c r="AC20" s="337">
        <f t="shared" si="4"/>
        <v>156731654</v>
      </c>
      <c r="AD20" s="336">
        <f t="shared" si="4"/>
        <v>748317877.2155106</v>
      </c>
      <c r="AE20" s="337">
        <f t="shared" si="4"/>
        <v>2986413220.8355103</v>
      </c>
      <c r="AJ20" s="367"/>
      <c r="AK20" s="367"/>
      <c r="AP20" s="358"/>
      <c r="AQ20" s="358"/>
      <c r="AR20" s="359"/>
      <c r="AS20" s="359"/>
      <c r="AT20" s="359"/>
      <c r="AU20" s="359"/>
      <c r="AV20" s="359"/>
      <c r="AW20" s="359"/>
    </row>
    <row r="21" spans="1:49" ht="18" customHeight="1">
      <c r="A21" s="316" t="s">
        <v>347</v>
      </c>
      <c r="B21" s="342" t="s">
        <v>348</v>
      </c>
      <c r="C21" s="416">
        <v>11</v>
      </c>
      <c r="D21" s="338">
        <f>3187300*D6</f>
        <v>3346665</v>
      </c>
      <c r="E21" s="424"/>
      <c r="F21" s="321">
        <f>+D21*12*C21</f>
        <v>441759780</v>
      </c>
      <c r="G21" s="320">
        <f>ROUND(IF(D21&lt;1071200,63600*12*C21,),0)</f>
        <v>0</v>
      </c>
      <c r="H21" s="321">
        <f>ROUND(IF(D21&lt;1156023,41221*12*C21,),0)</f>
        <v>0</v>
      </c>
      <c r="I21" s="320">
        <f>ROUND((IF(D21+(N21)/12&gt;=1133355,(D21+(N21)/12)*35%*C21,(D21+(N21)/12)*50%*C21)),0)</f>
        <v>12884660</v>
      </c>
      <c r="J21" s="320">
        <f>ROUND(((F21+I21+G21+H21+N21)/24),0)</f>
        <v>18943518</v>
      </c>
      <c r="K21" s="320">
        <f>ROUND(((+F21+E21+I21+H21+G21+N21+J21)/24),0)</f>
        <v>19732832</v>
      </c>
      <c r="L21" s="320">
        <f>ROUND(((F21+E21+I21+H21+G21+J21+K21+N21)/12),0)</f>
        <v>41110066</v>
      </c>
      <c r="M21" s="321">
        <f>+F21/180</f>
        <v>2454221</v>
      </c>
      <c r="N21" s="320">
        <v>0</v>
      </c>
      <c r="O21" s="320">
        <v>0</v>
      </c>
      <c r="P21" s="321">
        <f>SUM(N21:O21)</f>
        <v>0</v>
      </c>
      <c r="Q21" s="320">
        <f>ROUND(((D21*3)*12*0.2),0)</f>
        <v>24095988</v>
      </c>
      <c r="R21" s="321">
        <f>SUM(Q21)</f>
        <v>24095988</v>
      </c>
      <c r="S21" s="320">
        <v>0</v>
      </c>
      <c r="T21" s="320">
        <v>0</v>
      </c>
      <c r="U21" s="320">
        <f>ROUND(((F21+I21+H21+G21+N21+J21+K21+L21+S21)/12),0)</f>
        <v>44535905</v>
      </c>
      <c r="V21" s="321">
        <f>((+F21+E21+N21+S21+I21)*12%)/10*5</f>
        <v>27278666.4</v>
      </c>
      <c r="W21" s="320">
        <v>0</v>
      </c>
      <c r="X21" s="320">
        <f>ROUND(((+F21+E21+N21+S21+I21)*0.522%),0)</f>
        <v>2373244</v>
      </c>
      <c r="Y21" s="320">
        <f>(+F21+N21+S21+H21+I21+J21+K21)*3%</f>
        <v>14799623.7</v>
      </c>
      <c r="Z21" s="320">
        <f>ROUND(((F21+N21+S21+H21+I21+J21+K21)*2%),0)</f>
        <v>9866416</v>
      </c>
      <c r="AA21" s="321">
        <f>ROUND(((+F21+N21+S21+H21+I21+J21+K21)*4%),0)</f>
        <v>19732832</v>
      </c>
      <c r="AB21" s="320">
        <f>ROUND((((+F21+E21+N21+S21+I21)*12%)/10*5),0)</f>
        <v>27278666</v>
      </c>
      <c r="AC21" s="320">
        <f>ROUND(((+F21+N21+S21+I21)*8.5%),0)</f>
        <v>38644777</v>
      </c>
      <c r="AD21" s="321">
        <f>SUM(U21:AC21)</f>
        <v>184510130.10000002</v>
      </c>
      <c r="AE21" s="322">
        <f>F21+G21+H21+I21+J21+K21+L21+M21+P21+R21+S21+T21+AD21</f>
        <v>745491195.1</v>
      </c>
      <c r="AF21" s="372"/>
      <c r="AG21" s="372"/>
      <c r="AH21" s="372"/>
      <c r="AI21" s="372"/>
      <c r="AK21" s="367"/>
      <c r="AP21" s="358"/>
      <c r="AQ21" s="358"/>
      <c r="AR21" s="359"/>
      <c r="AS21" s="359"/>
      <c r="AT21" s="359"/>
      <c r="AU21" s="359"/>
      <c r="AV21" s="359"/>
      <c r="AW21" s="359"/>
    </row>
    <row r="22" spans="1:49" ht="18" customHeight="1">
      <c r="A22" s="316" t="s">
        <v>347</v>
      </c>
      <c r="B22" s="342" t="s">
        <v>349</v>
      </c>
      <c r="C22" s="416">
        <v>8</v>
      </c>
      <c r="D22" s="343">
        <f>2810639*D6</f>
        <v>2951170.95</v>
      </c>
      <c r="E22" s="424"/>
      <c r="F22" s="321">
        <f>+D22*12*C22</f>
        <v>283312411.20000005</v>
      </c>
      <c r="G22" s="320">
        <f>ROUND(IF(D22&lt;1071200,63600*12*C22,),0)</f>
        <v>0</v>
      </c>
      <c r="H22" s="321">
        <f>ROUND(IF(D22&lt;1156023,41221*12*C22,),0)</f>
        <v>0</v>
      </c>
      <c r="I22" s="320">
        <f>ROUND((IF(D22+(N22)/12&gt;=1133355,(D22+(N22)/12)*35%*C22,(D22+(N22)/12)*50%*C22)),0)</f>
        <v>8263279</v>
      </c>
      <c r="J22" s="320">
        <f>ROUND(((F22+I22+G22+H22+N22)/24),0)</f>
        <v>12148987</v>
      </c>
      <c r="K22" s="320">
        <f>ROUND(((+F22+I22+H22+G22+N22+J22)/24),0)</f>
        <v>12655195</v>
      </c>
      <c r="L22" s="320">
        <f>ROUND(((F22+I22+H22+G22+J22+K22+N22)/12),0)</f>
        <v>26364989</v>
      </c>
      <c r="M22" s="321">
        <f>+F22/180</f>
        <v>1573957.8400000003</v>
      </c>
      <c r="N22" s="320">
        <v>0</v>
      </c>
      <c r="O22" s="320">
        <v>0</v>
      </c>
      <c r="P22" s="321">
        <f>SUM(N22:O22)</f>
        <v>0</v>
      </c>
      <c r="Q22" s="320">
        <f>ROUND(((D22*2)*12*0.2),0)</f>
        <v>14165621</v>
      </c>
      <c r="R22" s="321">
        <f>SUM(Q22)</f>
        <v>14165621</v>
      </c>
      <c r="S22" s="320">
        <v>0</v>
      </c>
      <c r="T22" s="320">
        <v>0</v>
      </c>
      <c r="U22" s="320">
        <f>ROUND(((F22+I22+H22+G22+N22+J22+K22+L22+S22)/12),0)</f>
        <v>28562072</v>
      </c>
      <c r="V22" s="321">
        <f>((+F22+N22+S22+I22)*12%)/8*2</f>
        <v>8747270.706</v>
      </c>
      <c r="W22" s="320">
        <f>((+F22+E22+N22+S22+I22)*8%)/8.5*0</f>
        <v>0</v>
      </c>
      <c r="X22" s="320">
        <f>ROUND(((+F22+N22+S22+I22)*0.522%),0)</f>
        <v>1522025</v>
      </c>
      <c r="Y22" s="320">
        <f>(+F22+N22+S22+H22+I22+J22+K22)*3%</f>
        <v>9491396.166000001</v>
      </c>
      <c r="Z22" s="320">
        <f>ROUND(((F22+N22+S22+H22+I22+J22+K22)*2%),0)</f>
        <v>6327597</v>
      </c>
      <c r="AA22" s="321">
        <f>ROUND(((+F22+N22+S22+H22+I22+J22+K22)*4%),0)</f>
        <v>12655195</v>
      </c>
      <c r="AB22" s="320">
        <f>ROUND((((+F22+E22+N22+S22+I22)*12%)/8*6),0)</f>
        <v>26241812</v>
      </c>
      <c r="AC22" s="320">
        <f>ROUND(((+F22+N22+S22+I22)*8.5%),0)</f>
        <v>24783934</v>
      </c>
      <c r="AD22" s="321">
        <f>SUM(U22:AC22)</f>
        <v>118331301.87200001</v>
      </c>
      <c r="AE22" s="320">
        <f>F22+G22+H22+I22+J22+K22+L22+M22+P22+R22+S22+T22+AD22</f>
        <v>476815741.91200006</v>
      </c>
      <c r="AF22" s="372"/>
      <c r="AG22" s="372"/>
      <c r="AH22" s="372"/>
      <c r="AI22" s="372"/>
      <c r="AK22" s="367"/>
      <c r="AP22" s="358"/>
      <c r="AQ22" s="358"/>
      <c r="AR22" s="359"/>
      <c r="AS22" s="359"/>
      <c r="AT22" s="359"/>
      <c r="AU22" s="359"/>
      <c r="AV22" s="359"/>
      <c r="AW22" s="359"/>
    </row>
    <row r="23" spans="1:49" ht="18" customHeight="1">
      <c r="A23" s="324" t="s">
        <v>347</v>
      </c>
      <c r="B23" s="344" t="s">
        <v>350</v>
      </c>
      <c r="C23" s="418">
        <v>6</v>
      </c>
      <c r="D23" s="343">
        <f>2375553*D6</f>
        <v>2494330.65</v>
      </c>
      <c r="E23" s="425"/>
      <c r="F23" s="328">
        <f>+D23*12*C23</f>
        <v>179591806.79999998</v>
      </c>
      <c r="G23" s="320">
        <f>ROUND(IF(D23&lt;1071200,63600*12*C23,),0)</f>
        <v>0</v>
      </c>
      <c r="H23" s="321">
        <f>ROUND(IF(D23&lt;1156023,41221*12*C23,),0)</f>
        <v>0</v>
      </c>
      <c r="I23" s="320">
        <f>ROUND((IF(D23+(N23)/12&gt;=1133355,(D23+(N23)/12)*35%*C23,(D23+(N23)/12)*50%*C23)),0)</f>
        <v>5238094</v>
      </c>
      <c r="J23" s="327">
        <f>ROUND(((F23+I23+G23+H23+N23)/24),0)</f>
        <v>7701246</v>
      </c>
      <c r="K23" s="327">
        <f>ROUND(((+F23+I23+H23+G23+N23+J23)/24),0)</f>
        <v>8022131</v>
      </c>
      <c r="L23" s="327">
        <f>ROUND(((F23+I23+H23+G23+J23+K23+N23)/12),0)</f>
        <v>16712773</v>
      </c>
      <c r="M23" s="328">
        <f>+F23/180</f>
        <v>997732.2599999999</v>
      </c>
      <c r="N23" s="327">
        <v>0</v>
      </c>
      <c r="O23" s="327">
        <v>0</v>
      </c>
      <c r="P23" s="328">
        <f>SUM(N23:O23)</f>
        <v>0</v>
      </c>
      <c r="Q23" s="327">
        <f>ROUND(((D23*2)*12*0.2),0)</f>
        <v>11972787</v>
      </c>
      <c r="R23" s="328">
        <f>SUM(Q23)</f>
        <v>11972787</v>
      </c>
      <c r="S23" s="327">
        <v>0</v>
      </c>
      <c r="T23" s="327">
        <v>0</v>
      </c>
      <c r="U23" s="327">
        <f>ROUND(((F23+I23+H23+G23+N23+J23+K23+L23+S23)/12),0)</f>
        <v>18105504</v>
      </c>
      <c r="V23" s="328">
        <f>((+F23+N23+S23+I23)*12%)/6*1</f>
        <v>3696598.0159999994</v>
      </c>
      <c r="W23" s="327">
        <v>0</v>
      </c>
      <c r="X23" s="327">
        <f>ROUND(((+F23+N23+S23+I23)*0.522%),0)</f>
        <v>964812</v>
      </c>
      <c r="Y23" s="327">
        <f>(+F23+N23+S23+H23+I23+J23+K23)*3%</f>
        <v>6016598.333999999</v>
      </c>
      <c r="Z23" s="327">
        <f>ROUND(((F23+N23+S23+H23+I23+J23+K23)*2%),0)</f>
        <v>4011066</v>
      </c>
      <c r="AA23" s="328">
        <f>ROUND(((+F23+N23+S23+H23+I23+J23+K23)*4%),0)</f>
        <v>8022131</v>
      </c>
      <c r="AB23" s="327">
        <f>ROUND((((+F23+E23+N23+S23+I23)*12%)/6*5),0)</f>
        <v>18482990</v>
      </c>
      <c r="AC23" s="320">
        <f>ROUND(((+F23+N23+S23+I23)*8.5%),0)</f>
        <v>15710542</v>
      </c>
      <c r="AD23" s="328">
        <f>SUM(U23:AC23)</f>
        <v>75010241.35</v>
      </c>
      <c r="AE23" s="327">
        <f>F23+G23+H23+I23+J23+K23+L23+M23+P23+R23+S23+T23+AD23</f>
        <v>305246811.40999997</v>
      </c>
      <c r="AF23" s="372"/>
      <c r="AG23" s="372"/>
      <c r="AH23" s="372"/>
      <c r="AI23" s="372"/>
      <c r="AK23" s="367"/>
      <c r="AP23" s="358"/>
      <c r="AQ23" s="358"/>
      <c r="AR23" s="359"/>
      <c r="AS23" s="359"/>
      <c r="AT23" s="359"/>
      <c r="AU23" s="359"/>
      <c r="AV23" s="359"/>
      <c r="AW23" s="359"/>
    </row>
    <row r="24" spans="1:49" ht="18" customHeight="1">
      <c r="A24" s="324" t="s">
        <v>351</v>
      </c>
      <c r="B24" s="344" t="s">
        <v>352</v>
      </c>
      <c r="C24" s="418">
        <v>22</v>
      </c>
      <c r="D24" s="343">
        <f>2066612*D6</f>
        <v>2169942.6</v>
      </c>
      <c r="E24" s="425"/>
      <c r="F24" s="328">
        <f>+D24*12*C24</f>
        <v>572864846.4000001</v>
      </c>
      <c r="G24" s="320">
        <f>ROUND(IF(D24&lt;1071200,63600*12*C24,),0)</f>
        <v>0</v>
      </c>
      <c r="H24" s="321">
        <f>ROUND(IF(D24&lt;1156023,41221*12*C24,),0)</f>
        <v>0</v>
      </c>
      <c r="I24" s="320">
        <f>ROUND((IF(D24+(N24)/12&gt;=1133355,(D24+(N24)/12)*35%*C24,(D24+(N24)/12)*50%*C24)),0)</f>
        <v>16708558</v>
      </c>
      <c r="J24" s="327">
        <f>ROUND(((F24+I24+G24+H24+N24)/24),0)</f>
        <v>24565559</v>
      </c>
      <c r="K24" s="327">
        <f>ROUND(((+F24+I24+H24+G24+N24+J24)/24),0)</f>
        <v>25589123</v>
      </c>
      <c r="L24" s="327">
        <f>ROUND(((F24+I24+H24+G24+J24+K24+N24)/12),0)</f>
        <v>53310674</v>
      </c>
      <c r="M24" s="328">
        <f>+F24/180</f>
        <v>3182582.4800000004</v>
      </c>
      <c r="N24" s="327">
        <v>0</v>
      </c>
      <c r="O24" s="327">
        <v>0</v>
      </c>
      <c r="P24" s="328">
        <f>SUM(N24:O24)</f>
        <v>0</v>
      </c>
      <c r="Q24" s="327">
        <f>ROUND(((D24*2)*12*0.2),0)</f>
        <v>10415724</v>
      </c>
      <c r="R24" s="328">
        <f>SUM(Q24)</f>
        <v>10415724</v>
      </c>
      <c r="S24" s="327">
        <v>0</v>
      </c>
      <c r="T24" s="327">
        <v>0</v>
      </c>
      <c r="U24" s="327">
        <f>ROUND(((F24+I24+H24+G24+N24+J24+K24+L24+S24)/12),0)</f>
        <v>57753230</v>
      </c>
      <c r="V24" s="328">
        <f>((+F24+N24+S24+I24)*12%)/22*9</f>
        <v>28942694.39781819</v>
      </c>
      <c r="W24" s="327">
        <v>0</v>
      </c>
      <c r="X24" s="327">
        <f>ROUND(((+F24+N24+S24+I24)*0.522%),0)</f>
        <v>3077573</v>
      </c>
      <c r="Y24" s="327">
        <f>(+F24+N24+S24+H24+I24+J24+K24)*3%</f>
        <v>19191842.592000004</v>
      </c>
      <c r="Z24" s="327">
        <f>ROUND(((F24+N24+S24+H24+I24+J24+K24)*2%),0)</f>
        <v>12794562</v>
      </c>
      <c r="AA24" s="328">
        <f>ROUND(((+F24+N24+S24+H24+I24+J24+K24)*4%),0)</f>
        <v>25589123</v>
      </c>
      <c r="AB24" s="327">
        <f>ROUND((((+F24+E24+N24+S24+I24)*12%)/22*13),0)</f>
        <v>41806114</v>
      </c>
      <c r="AC24" s="320">
        <f>ROUND(((+F24+N24+S24+I24)*8.5%),0)</f>
        <v>50113739</v>
      </c>
      <c r="AD24" s="328">
        <f>SUM(U24:AC24)</f>
        <v>239268877.98981822</v>
      </c>
      <c r="AE24" s="327">
        <f>F24+G24+H24+I24+J24+K24+L24+M24+P24+R24+S24+T24+AD24</f>
        <v>945905944.8698183</v>
      </c>
      <c r="AF24" s="372"/>
      <c r="AG24" s="372"/>
      <c r="AH24" s="372"/>
      <c r="AI24" s="372"/>
      <c r="AK24" s="367"/>
      <c r="AP24" s="358"/>
      <c r="AQ24" s="358"/>
      <c r="AR24" s="359"/>
      <c r="AS24" s="359"/>
      <c r="AT24" s="359"/>
      <c r="AU24" s="359"/>
      <c r="AV24" s="359"/>
      <c r="AW24" s="359"/>
    </row>
    <row r="25" spans="1:49" ht="18" customHeight="1" thickBot="1">
      <c r="A25" s="324" t="s">
        <v>351</v>
      </c>
      <c r="B25" s="344" t="s">
        <v>353</v>
      </c>
      <c r="C25" s="418">
        <v>13</v>
      </c>
      <c r="D25" s="339">
        <f>1917684*D6</f>
        <v>2013568.2000000002</v>
      </c>
      <c r="E25" s="425"/>
      <c r="F25" s="328">
        <f>+D25*12*C25</f>
        <v>314116639.20000005</v>
      </c>
      <c r="G25" s="320">
        <f>ROUND(IF(D25&lt;1071200,63600*12*C25,),0)</f>
        <v>0</v>
      </c>
      <c r="H25" s="321">
        <f>ROUND(IF(D25&lt;1156023,41221*12*C25,),0)</f>
        <v>0</v>
      </c>
      <c r="I25" s="320">
        <f>ROUND((IF(D25+(N25)/12&gt;=1133355,(D25+(N25)/12)*35%*C25,(D25+(N25)/12)*50%*C25)),0)</f>
        <v>9161735</v>
      </c>
      <c r="J25" s="327">
        <f>ROUND(((F25+I25+G25+H25+N25)/24),0)</f>
        <v>13469932</v>
      </c>
      <c r="K25" s="327">
        <f>ROUND(((+F25+I25+H25+G25+N25+J25)/24),0)</f>
        <v>14031179</v>
      </c>
      <c r="L25" s="327">
        <f>ROUND(((F25+I25+H25+G25+J25+K25+N25)/12),0)</f>
        <v>29231624</v>
      </c>
      <c r="M25" s="328">
        <f>+F25/180</f>
        <v>1745092.4400000002</v>
      </c>
      <c r="N25" s="327">
        <v>0</v>
      </c>
      <c r="O25" s="327">
        <v>0</v>
      </c>
      <c r="P25" s="328">
        <f>SUM(N25:O25)</f>
        <v>0</v>
      </c>
      <c r="Q25" s="327">
        <v>0</v>
      </c>
      <c r="R25" s="328">
        <f>SUM(Q25)</f>
        <v>0</v>
      </c>
      <c r="S25" s="327">
        <v>0</v>
      </c>
      <c r="T25" s="327">
        <v>0</v>
      </c>
      <c r="U25" s="327">
        <f>ROUND(((F25+I25+H25+G25+N25+J25+K25+L25+S25)/12),0)</f>
        <v>31667592</v>
      </c>
      <c r="V25" s="328">
        <f>((+F25+N25+S25+I25)*12%)/13*5</f>
        <v>14920540.34769231</v>
      </c>
      <c r="W25" s="327">
        <v>0</v>
      </c>
      <c r="X25" s="327">
        <f>ROUND(((+F25+N25+S25+I25)*0.522%),0)</f>
        <v>1687513</v>
      </c>
      <c r="Y25" s="327">
        <f>(+F25+N25+S25+H25+I25+J25+K25)*3%</f>
        <v>10523384.556000002</v>
      </c>
      <c r="Z25" s="327">
        <f>ROUND(((F25+N25+S25+H25+I25+J25+K25)*2%),0)</f>
        <v>7015590</v>
      </c>
      <c r="AA25" s="328">
        <f>ROUND(((+F25+N25+S25+H25+I25+J25+K25)*4%),0)</f>
        <v>14031179</v>
      </c>
      <c r="AB25" s="327">
        <f>ROUND((((+F25+E25+N25+S25+I25)*12%)/13*8),0)</f>
        <v>23872865</v>
      </c>
      <c r="AC25" s="320">
        <f>ROUND(((+F25+N25+S25+I25)*8.5%),0)</f>
        <v>27478662</v>
      </c>
      <c r="AD25" s="328">
        <f>SUM(U25:AC25)</f>
        <v>131197325.9036923</v>
      </c>
      <c r="AE25" s="327">
        <f>F25+G25+H25+I25+J25+K25+L25+M25+P25+R25+S25+T25+AD25</f>
        <v>512953527.54369235</v>
      </c>
      <c r="AF25" s="372"/>
      <c r="AG25" s="372"/>
      <c r="AH25" s="372"/>
      <c r="AI25" s="372"/>
      <c r="AK25" s="367"/>
      <c r="AP25" s="358"/>
      <c r="AQ25" s="358"/>
      <c r="AR25" s="359"/>
      <c r="AS25" s="359"/>
      <c r="AT25" s="359"/>
      <c r="AU25" s="359"/>
      <c r="AV25" s="359"/>
      <c r="AW25" s="359"/>
    </row>
    <row r="26" spans="1:49" ht="18" customHeight="1" thickBot="1">
      <c r="A26" s="330" t="s">
        <v>354</v>
      </c>
      <c r="B26" s="331"/>
      <c r="C26" s="417">
        <f>SUM(C27)</f>
        <v>6</v>
      </c>
      <c r="D26" s="336">
        <f>+D27*C27</f>
        <v>9121423.5</v>
      </c>
      <c r="E26" s="408"/>
      <c r="F26" s="336">
        <f>+F27</f>
        <v>109457082</v>
      </c>
      <c r="G26" s="337"/>
      <c r="H26" s="336"/>
      <c r="I26" s="337">
        <f>+I27</f>
        <v>3192498</v>
      </c>
      <c r="J26" s="337">
        <f>+J27</f>
        <v>4693733</v>
      </c>
      <c r="K26" s="337">
        <f>+K27</f>
        <v>4889305</v>
      </c>
      <c r="L26" s="337">
        <f>+L27</f>
        <v>10186052</v>
      </c>
      <c r="M26" s="336">
        <f>+M27</f>
        <v>608094.9</v>
      </c>
      <c r="N26" s="337">
        <v>0</v>
      </c>
      <c r="O26" s="337">
        <v>0</v>
      </c>
      <c r="P26" s="387">
        <f>SUM(P27)</f>
        <v>0</v>
      </c>
      <c r="Q26" s="337">
        <f>SUM(Q27)</f>
        <v>0</v>
      </c>
      <c r="R26" s="336">
        <f>SUM(R27)</f>
        <v>0</v>
      </c>
      <c r="S26" s="337">
        <v>0</v>
      </c>
      <c r="T26" s="337">
        <v>0</v>
      </c>
      <c r="U26" s="337">
        <f aca="true" t="shared" si="5" ref="U26:AD26">+U27</f>
        <v>11034889</v>
      </c>
      <c r="V26" s="336">
        <f t="shared" si="5"/>
        <v>6758974.800000001</v>
      </c>
      <c r="W26" s="337">
        <f t="shared" si="5"/>
        <v>0</v>
      </c>
      <c r="X26" s="337">
        <f t="shared" si="5"/>
        <v>588031</v>
      </c>
      <c r="Y26" s="337">
        <f t="shared" si="5"/>
        <v>3666978.54</v>
      </c>
      <c r="Z26" s="337">
        <f t="shared" si="5"/>
        <v>2444652</v>
      </c>
      <c r="AA26" s="336">
        <f t="shared" si="5"/>
        <v>4889305</v>
      </c>
      <c r="AB26" s="337">
        <f t="shared" si="5"/>
        <v>6758975</v>
      </c>
      <c r="AC26" s="337">
        <f t="shared" si="5"/>
        <v>9575214</v>
      </c>
      <c r="AD26" s="336">
        <f t="shared" si="5"/>
        <v>45717019.34</v>
      </c>
      <c r="AE26" s="337">
        <f>SUM(AE27)</f>
        <v>178743784.24</v>
      </c>
      <c r="AF26" s="372"/>
      <c r="AG26" s="372"/>
      <c r="AH26" s="372"/>
      <c r="AI26" s="372"/>
      <c r="AK26" s="367"/>
      <c r="AP26" s="358"/>
      <c r="AQ26" s="358"/>
      <c r="AR26" s="359"/>
      <c r="AS26" s="359"/>
      <c r="AT26" s="359"/>
      <c r="AU26" s="359"/>
      <c r="AV26" s="359"/>
      <c r="AW26" s="359"/>
    </row>
    <row r="27" spans="1:49" ht="18" customHeight="1" thickBot="1">
      <c r="A27" s="345" t="s">
        <v>355</v>
      </c>
      <c r="B27" s="346" t="s">
        <v>356</v>
      </c>
      <c r="C27" s="419">
        <v>6</v>
      </c>
      <c r="D27" s="347">
        <f>1447845*D6</f>
        <v>1520237.25</v>
      </c>
      <c r="E27" s="426"/>
      <c r="F27" s="321">
        <f>+D27*12*C27</f>
        <v>109457082</v>
      </c>
      <c r="G27" s="320">
        <f>ROUND(IF(D27&lt;1071200,63600*12*C27,),0)</f>
        <v>0</v>
      </c>
      <c r="H27" s="321">
        <f>ROUND(IF(D27&lt;1156023,41221*12*C27,),0)</f>
        <v>0</v>
      </c>
      <c r="I27" s="320">
        <f>ROUND((IF(D27+(N27)/12&gt;=1133355,(D27+(N27)/12)*35%*C27,(D27+(N27)/12)*50%*C27)),0)</f>
        <v>3192498</v>
      </c>
      <c r="J27" s="348">
        <f>ROUND(((F27+I27+G27+H27+N27)/24),0)</f>
        <v>4693733</v>
      </c>
      <c r="K27" s="348">
        <f>ROUND(((+F27+I27+H27+G27+N27+J27)/24),0)</f>
        <v>4889305</v>
      </c>
      <c r="L27" s="348">
        <f>ROUND(((F27+E27+I27+H27+G27+J27+K27+N27)/12),0)</f>
        <v>10186052</v>
      </c>
      <c r="M27" s="349">
        <f>+F27/180</f>
        <v>608094.9</v>
      </c>
      <c r="N27" s="348">
        <v>0</v>
      </c>
      <c r="O27" s="348">
        <v>0</v>
      </c>
      <c r="P27" s="349">
        <f>SUM(N27:O27)</f>
        <v>0</v>
      </c>
      <c r="Q27" s="348">
        <v>0</v>
      </c>
      <c r="R27" s="349">
        <f>SUM(Q27)</f>
        <v>0</v>
      </c>
      <c r="S27" s="348">
        <v>0</v>
      </c>
      <c r="T27" s="348">
        <v>0</v>
      </c>
      <c r="U27" s="320">
        <f>ROUND(((F27+I27+H27+G27+N27+J27+K27+L27+S27)/12),0)</f>
        <v>11034889</v>
      </c>
      <c r="V27" s="349">
        <f>((+F27+N27+S27+I27)*12%)/6*3</f>
        <v>6758974.800000001</v>
      </c>
      <c r="W27" s="348">
        <f>((+F27+N27+S27+I27)*8%)/6*0</f>
        <v>0</v>
      </c>
      <c r="X27" s="348">
        <f>ROUND(((+F27+N27+S27+I27)*0.522%),0)</f>
        <v>588031</v>
      </c>
      <c r="Y27" s="320">
        <f>(+F27+N27+S27+H27+I27+J27+K27)*3%</f>
        <v>3666978.54</v>
      </c>
      <c r="Z27" s="320">
        <f>ROUND(((F27+N27+S27+H27+I27+J27+K27)*2%),0)</f>
        <v>2444652</v>
      </c>
      <c r="AA27" s="321">
        <f>ROUND(((+F27+N27+S27+H27+I27+J27+K27)*4%),0)</f>
        <v>4889305</v>
      </c>
      <c r="AB27" s="320">
        <f>ROUND((((+F27+E27+N27+S27+I27)*12%)/6*3),0)</f>
        <v>6758975</v>
      </c>
      <c r="AC27" s="320">
        <f>ROUND(((+F27+N27+S27+I27)*8.5%),0)</f>
        <v>9575214</v>
      </c>
      <c r="AD27" s="321">
        <f>SUM(U27:AC27)</f>
        <v>45717019.34</v>
      </c>
      <c r="AE27" s="322">
        <f>F27+G27+H27+I27+J27+K27+L27+M27+P27+R27+S27+T27+AD27</f>
        <v>178743784.24</v>
      </c>
      <c r="AK27" s="367"/>
      <c r="AP27" s="358"/>
      <c r="AQ27" s="358"/>
      <c r="AR27" s="359"/>
      <c r="AS27" s="359"/>
      <c r="AT27" s="359"/>
      <c r="AU27" s="359"/>
      <c r="AV27" s="359"/>
      <c r="AW27" s="359"/>
    </row>
    <row r="28" spans="1:49" ht="18" customHeight="1" thickBot="1">
      <c r="A28" s="330" t="s">
        <v>154</v>
      </c>
      <c r="B28" s="331"/>
      <c r="C28" s="417">
        <f>SUM(C29:C35)</f>
        <v>14</v>
      </c>
      <c r="D28" s="336">
        <f>+D29+(D30*3)+(D31*3)+(D32*4)+D33+D34+D35</f>
        <v>14861690.549999999</v>
      </c>
      <c r="E28" s="408"/>
      <c r="F28" s="336">
        <f aca="true" t="shared" si="6" ref="F28:M28">SUM(F29:F35)</f>
        <v>178340286.6</v>
      </c>
      <c r="G28" s="337">
        <f t="shared" si="6"/>
        <v>8136000</v>
      </c>
      <c r="H28" s="336">
        <f t="shared" si="6"/>
        <v>5364000</v>
      </c>
      <c r="I28" s="337">
        <f t="shared" si="6"/>
        <v>6694612</v>
      </c>
      <c r="J28" s="337">
        <f t="shared" si="6"/>
        <v>8272288</v>
      </c>
      <c r="K28" s="337">
        <f t="shared" si="6"/>
        <v>8616967</v>
      </c>
      <c r="L28" s="337">
        <f t="shared" si="6"/>
        <v>17952013</v>
      </c>
      <c r="M28" s="336">
        <f t="shared" si="6"/>
        <v>990779.37</v>
      </c>
      <c r="N28" s="337">
        <v>0</v>
      </c>
      <c r="O28" s="337">
        <v>0</v>
      </c>
      <c r="P28" s="387">
        <f>SUM(P29:P35)</f>
        <v>0</v>
      </c>
      <c r="Q28" s="337">
        <f>SUM(Q29:Q35)</f>
        <v>0</v>
      </c>
      <c r="R28" s="336">
        <f>SUM(R29:R35)</f>
        <v>0</v>
      </c>
      <c r="S28" s="337">
        <f>SUM(S29:S35)</f>
        <v>13650000</v>
      </c>
      <c r="T28" s="337">
        <v>0</v>
      </c>
      <c r="U28" s="337">
        <f aca="true" t="shared" si="7" ref="U28:AE28">SUM(U29:U35)</f>
        <v>20585514</v>
      </c>
      <c r="V28" s="336">
        <f t="shared" si="7"/>
        <v>3817719.6879999996</v>
      </c>
      <c r="W28" s="337">
        <f t="shared" si="7"/>
        <v>0</v>
      </c>
      <c r="X28" s="337">
        <f t="shared" si="7"/>
        <v>1763567</v>
      </c>
      <c r="Y28" s="337">
        <f t="shared" si="7"/>
        <v>6628144.608</v>
      </c>
      <c r="Z28" s="337">
        <f t="shared" si="7"/>
        <v>4418762</v>
      </c>
      <c r="AA28" s="336">
        <f t="shared" si="7"/>
        <v>8837527</v>
      </c>
      <c r="AB28" s="337">
        <f t="shared" si="7"/>
        <v>20024468</v>
      </c>
      <c r="AC28" s="337">
        <f t="shared" si="7"/>
        <v>16888217</v>
      </c>
      <c r="AD28" s="336">
        <f t="shared" si="7"/>
        <v>82963919.296</v>
      </c>
      <c r="AE28" s="337">
        <f t="shared" si="7"/>
        <v>330980865.26600003</v>
      </c>
      <c r="AF28" s="372"/>
      <c r="AG28" s="372"/>
      <c r="AH28" s="372"/>
      <c r="AI28" s="372"/>
      <c r="AK28" s="367"/>
      <c r="AP28" s="358"/>
      <c r="AQ28" s="358"/>
      <c r="AR28" s="359"/>
      <c r="AS28" s="359"/>
      <c r="AT28" s="359"/>
      <c r="AU28" s="359"/>
      <c r="AV28" s="359"/>
      <c r="AW28" s="359"/>
    </row>
    <row r="29" spans="1:49" ht="18" customHeight="1">
      <c r="A29" s="316" t="s">
        <v>357</v>
      </c>
      <c r="B29" s="342" t="s">
        <v>358</v>
      </c>
      <c r="C29" s="416">
        <v>1</v>
      </c>
      <c r="D29" s="350">
        <f>1311239*D6</f>
        <v>1376800.95</v>
      </c>
      <c r="E29" s="424"/>
      <c r="F29" s="321">
        <f aca="true" t="shared" si="8" ref="F29:F35">+D29*12*C29</f>
        <v>16521611.399999999</v>
      </c>
      <c r="G29" s="320">
        <f>ROUND(IF(D29&lt;1133400,67800*12*C29,),0)</f>
        <v>0</v>
      </c>
      <c r="H29" s="321">
        <f>ROUND(IF(D29&lt;1156023,44700*12*C29,),0)</f>
        <v>0</v>
      </c>
      <c r="I29" s="320">
        <f aca="true" t="shared" si="9" ref="I29:I35">ROUND((IF(D29+(N29)/12&gt;=1133355,(D29+(N29)/12)*35%*C29,(D29+(N29)/12)*50%*C29)),0)</f>
        <v>481880</v>
      </c>
      <c r="J29" s="320">
        <f aca="true" t="shared" si="10" ref="J29:J35">ROUND(((F29+I29+G29+H29+N29)/24),0)</f>
        <v>708479</v>
      </c>
      <c r="K29" s="320">
        <f aca="true" t="shared" si="11" ref="K29:K35">ROUND(((+F29+I29+H29+G29+N29+J29)/24),0)</f>
        <v>737999</v>
      </c>
      <c r="L29" s="320">
        <f aca="true" t="shared" si="12" ref="L29:L35">ROUND(((F29+I29+H29+G29+J29+K29+N29)/12),0)</f>
        <v>1537497</v>
      </c>
      <c r="M29" s="321">
        <f aca="true" t="shared" si="13" ref="M29:M35">+F29/180</f>
        <v>91786.73</v>
      </c>
      <c r="N29" s="320">
        <v>0</v>
      </c>
      <c r="O29" s="320">
        <v>0</v>
      </c>
      <c r="P29" s="321">
        <f aca="true" t="shared" si="14" ref="P29:P35">SUM(N29:O29)</f>
        <v>0</v>
      </c>
      <c r="Q29" s="320">
        <v>0</v>
      </c>
      <c r="R29" s="321">
        <f aca="true" t="shared" si="15" ref="R29:R35">SUM(Q29)</f>
        <v>0</v>
      </c>
      <c r="S29" s="320">
        <v>0</v>
      </c>
      <c r="T29" s="320">
        <v>0</v>
      </c>
      <c r="U29" s="406">
        <f aca="true" t="shared" si="16" ref="U29:U35">ROUND(((F29+I29+H29+G29+N29+J29+K29+L29+S29)/12),0)</f>
        <v>1665622</v>
      </c>
      <c r="V29" s="322">
        <v>0</v>
      </c>
      <c r="W29" s="321">
        <v>0</v>
      </c>
      <c r="X29" s="320">
        <f>ROUND(((+F29+N29+S29+I29)*0.522%),0)</f>
        <v>88758</v>
      </c>
      <c r="Y29" s="320">
        <f aca="true" t="shared" si="17" ref="Y29:Y35">(+F29+N29+S29+H29+I29+J29+K29)*3%</f>
        <v>553499.0819999999</v>
      </c>
      <c r="Z29" s="320">
        <f aca="true" t="shared" si="18" ref="Z29:Z35">ROUND(((F29+N29+S29+H29+I29+J29+K29)*2%),0)</f>
        <v>368999</v>
      </c>
      <c r="AA29" s="321">
        <f aca="true" t="shared" si="19" ref="AA29:AA35">ROUND(((+F29+N29+S29+H29+I29+J29+K29)*4%),0)</f>
        <v>737999</v>
      </c>
      <c r="AB29" s="320">
        <f>ROUND((((+F29+E29+N29+S29+I29)*12%)/1*1),0)</f>
        <v>2040419</v>
      </c>
      <c r="AC29" s="320">
        <f aca="true" t="shared" si="20" ref="AC29:AC35">ROUND(((+F29+N29+S29+I29)*8.5%),0)</f>
        <v>1445297</v>
      </c>
      <c r="AD29" s="321">
        <f aca="true" t="shared" si="21" ref="AD29:AD35">SUM(U29:AC29)</f>
        <v>6900593.082</v>
      </c>
      <c r="AE29" s="322">
        <f aca="true" t="shared" si="22" ref="AE29:AE35">F29+G29+H29+I29+J29+K29+L29+M29+P29+R29+S29+T29+AD29</f>
        <v>26979846.211999997</v>
      </c>
      <c r="AF29" s="372"/>
      <c r="AG29" s="372"/>
      <c r="AH29" s="372"/>
      <c r="AI29" s="372"/>
      <c r="AK29" s="367"/>
      <c r="AP29" s="358"/>
      <c r="AQ29" s="358"/>
      <c r="AR29" s="359"/>
      <c r="AS29" s="359"/>
      <c r="AT29" s="359"/>
      <c r="AU29" s="359"/>
      <c r="AV29" s="359"/>
      <c r="AW29" s="359"/>
    </row>
    <row r="30" spans="1:49" ht="18" customHeight="1">
      <c r="A30" s="316" t="s">
        <v>357</v>
      </c>
      <c r="B30" s="342" t="s">
        <v>359</v>
      </c>
      <c r="C30" s="416">
        <v>3</v>
      </c>
      <c r="D30" s="351">
        <f>1121085*D6</f>
        <v>1177139.25</v>
      </c>
      <c r="E30" s="424"/>
      <c r="F30" s="321">
        <f t="shared" si="8"/>
        <v>42377013</v>
      </c>
      <c r="G30" s="320">
        <f aca="true" t="shared" si="23" ref="G30:G35">ROUND(IF(D30&lt;1133400,67800*12*C30,),0)</f>
        <v>0</v>
      </c>
      <c r="H30" s="321">
        <f aca="true" t="shared" si="24" ref="H30:H35">ROUND(IF(D30&lt;1156023,44700*12*C30,),0)</f>
        <v>0</v>
      </c>
      <c r="I30" s="320">
        <f t="shared" si="9"/>
        <v>1235996</v>
      </c>
      <c r="J30" s="320">
        <f t="shared" si="10"/>
        <v>1817209</v>
      </c>
      <c r="K30" s="320">
        <f t="shared" si="11"/>
        <v>1892926</v>
      </c>
      <c r="L30" s="320">
        <f t="shared" si="12"/>
        <v>3943595</v>
      </c>
      <c r="M30" s="321">
        <f t="shared" si="13"/>
        <v>235427.85</v>
      </c>
      <c r="N30" s="320">
        <v>0</v>
      </c>
      <c r="O30" s="320">
        <v>0</v>
      </c>
      <c r="P30" s="321">
        <f t="shared" si="14"/>
        <v>0</v>
      </c>
      <c r="Q30" s="320">
        <v>0</v>
      </c>
      <c r="R30" s="321">
        <f t="shared" si="15"/>
        <v>0</v>
      </c>
      <c r="S30" s="320">
        <v>0</v>
      </c>
      <c r="T30" s="320">
        <v>0</v>
      </c>
      <c r="U30" s="406">
        <f t="shared" si="16"/>
        <v>4272228</v>
      </c>
      <c r="V30" s="320">
        <v>0</v>
      </c>
      <c r="W30" s="321">
        <v>0</v>
      </c>
      <c r="X30" s="320">
        <f>ROUND(((+F30+N30+S30+I30)*0.522%),0)</f>
        <v>227660</v>
      </c>
      <c r="Y30" s="320">
        <f t="shared" si="17"/>
        <v>1419694.3199999998</v>
      </c>
      <c r="Z30" s="320">
        <f t="shared" si="18"/>
        <v>946463</v>
      </c>
      <c r="AA30" s="321">
        <f t="shared" si="19"/>
        <v>1892926</v>
      </c>
      <c r="AB30" s="320">
        <f>ROUND((((+F30+E30+N30+S30+I30)*12%)/1*1),0)</f>
        <v>5233561</v>
      </c>
      <c r="AC30" s="320">
        <f t="shared" si="20"/>
        <v>3707106</v>
      </c>
      <c r="AD30" s="321">
        <f t="shared" si="21"/>
        <v>17699638.32</v>
      </c>
      <c r="AE30" s="320">
        <f t="shared" si="22"/>
        <v>69201805.17</v>
      </c>
      <c r="AF30" s="372"/>
      <c r="AG30" s="372"/>
      <c r="AH30" s="372"/>
      <c r="AI30" s="372"/>
      <c r="AK30" s="367"/>
      <c r="AP30" s="358"/>
      <c r="AQ30" s="358"/>
      <c r="AR30" s="359"/>
      <c r="AS30" s="359"/>
      <c r="AT30" s="359"/>
      <c r="AU30" s="359"/>
      <c r="AV30" s="359"/>
      <c r="AW30" s="359"/>
    </row>
    <row r="31" spans="1:49" ht="18" customHeight="1">
      <c r="A31" s="316" t="s">
        <v>357</v>
      </c>
      <c r="B31" s="342" t="s">
        <v>360</v>
      </c>
      <c r="C31" s="416">
        <v>3</v>
      </c>
      <c r="D31" s="351">
        <f>1025719*D6</f>
        <v>1077004.95</v>
      </c>
      <c r="E31" s="424"/>
      <c r="F31" s="321">
        <f t="shared" si="8"/>
        <v>38772178.199999996</v>
      </c>
      <c r="G31" s="320">
        <f t="shared" si="23"/>
        <v>2440800</v>
      </c>
      <c r="H31" s="321">
        <f t="shared" si="24"/>
        <v>1609200</v>
      </c>
      <c r="I31" s="320">
        <f t="shared" si="9"/>
        <v>1615507</v>
      </c>
      <c r="J31" s="320">
        <f t="shared" si="10"/>
        <v>1851570</v>
      </c>
      <c r="K31" s="320">
        <f t="shared" si="11"/>
        <v>1928719</v>
      </c>
      <c r="L31" s="320">
        <f t="shared" si="12"/>
        <v>4018165</v>
      </c>
      <c r="M31" s="321">
        <f t="shared" si="13"/>
        <v>215400.98999999996</v>
      </c>
      <c r="N31" s="320">
        <v>0</v>
      </c>
      <c r="O31" s="320">
        <v>0</v>
      </c>
      <c r="P31" s="321">
        <f t="shared" si="14"/>
        <v>0</v>
      </c>
      <c r="Q31" s="320">
        <v>0</v>
      </c>
      <c r="R31" s="321">
        <f t="shared" si="15"/>
        <v>0</v>
      </c>
      <c r="S31" s="320">
        <v>0</v>
      </c>
      <c r="T31" s="320">
        <v>0</v>
      </c>
      <c r="U31" s="406">
        <f t="shared" si="16"/>
        <v>4353012</v>
      </c>
      <c r="V31" s="320">
        <f>((+F31+N31+S31+I31)*12%)/3*1</f>
        <v>1615507.4079999998</v>
      </c>
      <c r="W31" s="321">
        <v>0</v>
      </c>
      <c r="X31" s="320">
        <f>ROUND(((+F31+N31+S31+I31)*0.522%),0)</f>
        <v>210824</v>
      </c>
      <c r="Y31" s="320">
        <f t="shared" si="17"/>
        <v>1373315.2259999998</v>
      </c>
      <c r="Z31" s="320">
        <f t="shared" si="18"/>
        <v>915543</v>
      </c>
      <c r="AA31" s="321">
        <f t="shared" si="19"/>
        <v>1831087</v>
      </c>
      <c r="AB31" s="320">
        <f>ROUND((((+F31+E31+N31+S31+I31)*12%)/3*2),0)</f>
        <v>3231015</v>
      </c>
      <c r="AC31" s="320">
        <f t="shared" si="20"/>
        <v>3432953</v>
      </c>
      <c r="AD31" s="321">
        <f t="shared" si="21"/>
        <v>16963256.634</v>
      </c>
      <c r="AE31" s="320">
        <f t="shared" si="22"/>
        <v>69414796.824</v>
      </c>
      <c r="AF31" s="372"/>
      <c r="AG31" s="372"/>
      <c r="AH31" s="372"/>
      <c r="AI31" s="372"/>
      <c r="AK31" s="367"/>
      <c r="AP31" s="358"/>
      <c r="AQ31" s="358"/>
      <c r="AR31" s="359"/>
      <c r="AS31" s="359"/>
      <c r="AT31" s="359"/>
      <c r="AU31" s="359"/>
      <c r="AV31" s="359"/>
      <c r="AW31" s="359"/>
    </row>
    <row r="32" spans="1:49" ht="18" customHeight="1">
      <c r="A32" s="324" t="s">
        <v>361</v>
      </c>
      <c r="B32" s="344" t="s">
        <v>362</v>
      </c>
      <c r="C32" s="418">
        <v>4</v>
      </c>
      <c r="D32" s="351">
        <f>973472*D6</f>
        <v>1022145.6000000001</v>
      </c>
      <c r="E32" s="425"/>
      <c r="F32" s="328">
        <f t="shared" si="8"/>
        <v>49062988.800000004</v>
      </c>
      <c r="G32" s="320">
        <f t="shared" si="23"/>
        <v>3254400</v>
      </c>
      <c r="H32" s="321">
        <f t="shared" si="24"/>
        <v>2145600</v>
      </c>
      <c r="I32" s="320">
        <f t="shared" si="9"/>
        <v>2044291</v>
      </c>
      <c r="J32" s="327">
        <f t="shared" si="10"/>
        <v>2354470</v>
      </c>
      <c r="K32" s="327">
        <f t="shared" si="11"/>
        <v>2452573</v>
      </c>
      <c r="L32" s="327">
        <f t="shared" si="12"/>
        <v>5109527</v>
      </c>
      <c r="M32" s="328">
        <f t="shared" si="13"/>
        <v>272572.16000000003</v>
      </c>
      <c r="N32" s="327">
        <v>0</v>
      </c>
      <c r="O32" s="327">
        <v>0</v>
      </c>
      <c r="P32" s="328">
        <f t="shared" si="14"/>
        <v>0</v>
      </c>
      <c r="Q32" s="327">
        <v>0</v>
      </c>
      <c r="R32" s="328">
        <f t="shared" si="15"/>
        <v>0</v>
      </c>
      <c r="S32" s="327">
        <v>0</v>
      </c>
      <c r="T32" s="327">
        <v>0</v>
      </c>
      <c r="U32" s="407">
        <f t="shared" si="16"/>
        <v>5535321</v>
      </c>
      <c r="V32" s="327">
        <v>0</v>
      </c>
      <c r="W32" s="328">
        <v>0</v>
      </c>
      <c r="X32" s="327">
        <f>ROUND(((+F32+N32+S32+I32)*0.522%),0)</f>
        <v>266780</v>
      </c>
      <c r="Y32" s="327">
        <f t="shared" si="17"/>
        <v>1741797.6840000001</v>
      </c>
      <c r="Z32" s="327">
        <f t="shared" si="18"/>
        <v>1161198</v>
      </c>
      <c r="AA32" s="328">
        <f t="shared" si="19"/>
        <v>2322397</v>
      </c>
      <c r="AB32" s="327">
        <f>ROUND((((+F32+E32+N32+S32+I32)*12%)/4*4),0)</f>
        <v>6132874</v>
      </c>
      <c r="AC32" s="320">
        <f t="shared" si="20"/>
        <v>4344119</v>
      </c>
      <c r="AD32" s="328">
        <f t="shared" si="21"/>
        <v>21504486.684</v>
      </c>
      <c r="AE32" s="327">
        <f t="shared" si="22"/>
        <v>88200908.644</v>
      </c>
      <c r="AF32" s="372"/>
      <c r="AG32" s="372"/>
      <c r="AH32" s="372"/>
      <c r="AI32" s="372"/>
      <c r="AK32" s="367"/>
      <c r="AP32" s="358"/>
      <c r="AQ32" s="358"/>
      <c r="AR32" s="359"/>
      <c r="AS32" s="359"/>
      <c r="AT32" s="359"/>
      <c r="AU32" s="359"/>
      <c r="AV32" s="359"/>
      <c r="AW32" s="359"/>
    </row>
    <row r="33" spans="1:49" ht="18" customHeight="1">
      <c r="A33" s="316" t="s">
        <v>363</v>
      </c>
      <c r="B33" s="342" t="s">
        <v>364</v>
      </c>
      <c r="C33" s="416">
        <v>1</v>
      </c>
      <c r="D33" s="351">
        <f>656750*D6</f>
        <v>689587.5</v>
      </c>
      <c r="E33" s="424"/>
      <c r="F33" s="321">
        <f t="shared" si="8"/>
        <v>8275050</v>
      </c>
      <c r="G33" s="320">
        <f t="shared" si="23"/>
        <v>813600</v>
      </c>
      <c r="H33" s="321">
        <f t="shared" si="24"/>
        <v>536400</v>
      </c>
      <c r="I33" s="320">
        <f t="shared" si="9"/>
        <v>344794</v>
      </c>
      <c r="J33" s="320">
        <f t="shared" si="10"/>
        <v>415410</v>
      </c>
      <c r="K33" s="320">
        <f t="shared" si="11"/>
        <v>432719</v>
      </c>
      <c r="L33" s="320">
        <f t="shared" si="12"/>
        <v>901498</v>
      </c>
      <c r="M33" s="321">
        <f t="shared" si="13"/>
        <v>45972.5</v>
      </c>
      <c r="N33" s="320">
        <v>0</v>
      </c>
      <c r="O33" s="320">
        <v>0</v>
      </c>
      <c r="P33" s="321">
        <f t="shared" si="14"/>
        <v>0</v>
      </c>
      <c r="Q33" s="320">
        <v>0</v>
      </c>
      <c r="R33" s="321">
        <f t="shared" si="15"/>
        <v>0</v>
      </c>
      <c r="S33" s="320">
        <v>0</v>
      </c>
      <c r="T33" s="320">
        <v>0</v>
      </c>
      <c r="U33" s="406">
        <f t="shared" si="16"/>
        <v>976623</v>
      </c>
      <c r="V33" s="320">
        <v>0</v>
      </c>
      <c r="W33" s="321">
        <v>0</v>
      </c>
      <c r="X33" s="320">
        <f>ROUND(((+F33+N33+S33+I33)*0.522%),0)</f>
        <v>44996</v>
      </c>
      <c r="Y33" s="320">
        <f t="shared" si="17"/>
        <v>300131.19</v>
      </c>
      <c r="Z33" s="320">
        <f t="shared" si="18"/>
        <v>200087</v>
      </c>
      <c r="AA33" s="321">
        <f t="shared" si="19"/>
        <v>400175</v>
      </c>
      <c r="AB33" s="320">
        <f>ROUND((((+F33+E33+N33+S33+I33)*12%)/1*1),0)</f>
        <v>1034381</v>
      </c>
      <c r="AC33" s="320">
        <f t="shared" si="20"/>
        <v>732687</v>
      </c>
      <c r="AD33" s="321">
        <f t="shared" si="21"/>
        <v>3689080.19</v>
      </c>
      <c r="AE33" s="320">
        <f t="shared" si="22"/>
        <v>15454523.69</v>
      </c>
      <c r="AF33" s="372"/>
      <c r="AG33" s="372"/>
      <c r="AH33" s="372"/>
      <c r="AI33" s="372"/>
      <c r="AK33" s="367"/>
      <c r="AP33" s="358"/>
      <c r="AQ33" s="358"/>
      <c r="AR33" s="359"/>
      <c r="AS33" s="359"/>
      <c r="AT33" s="359"/>
      <c r="AU33" s="359"/>
      <c r="AV33" s="359"/>
      <c r="AW33" s="359"/>
    </row>
    <row r="34" spans="1:49" ht="18" customHeight="1">
      <c r="A34" s="316" t="s">
        <v>365</v>
      </c>
      <c r="B34" s="342" t="s">
        <v>366</v>
      </c>
      <c r="C34" s="416">
        <v>1</v>
      </c>
      <c r="D34" s="351">
        <f>878230*D6</f>
        <v>922141.5</v>
      </c>
      <c r="E34" s="424"/>
      <c r="F34" s="321">
        <f t="shared" si="8"/>
        <v>11065698</v>
      </c>
      <c r="G34" s="320">
        <f t="shared" si="23"/>
        <v>813600</v>
      </c>
      <c r="H34" s="321">
        <f t="shared" si="24"/>
        <v>536400</v>
      </c>
      <c r="I34" s="320">
        <f t="shared" si="9"/>
        <v>461071</v>
      </c>
      <c r="J34" s="320">
        <f t="shared" si="10"/>
        <v>536532</v>
      </c>
      <c r="K34" s="320">
        <f t="shared" si="11"/>
        <v>558888</v>
      </c>
      <c r="L34" s="320">
        <f t="shared" si="12"/>
        <v>1164349</v>
      </c>
      <c r="M34" s="321">
        <f t="shared" si="13"/>
        <v>61476.1</v>
      </c>
      <c r="N34" s="320">
        <v>0</v>
      </c>
      <c r="O34" s="320">
        <v>0</v>
      </c>
      <c r="P34" s="321">
        <f t="shared" si="14"/>
        <v>0</v>
      </c>
      <c r="Q34" s="320">
        <v>0</v>
      </c>
      <c r="R34" s="321">
        <f t="shared" si="15"/>
        <v>0</v>
      </c>
      <c r="S34" s="320">
        <f>6500000*1.05</f>
        <v>6825000</v>
      </c>
      <c r="T34" s="320">
        <v>0</v>
      </c>
      <c r="U34" s="406">
        <f t="shared" si="16"/>
        <v>1830128</v>
      </c>
      <c r="V34" s="320">
        <f>((+F34+N34+S34+I34)*12%)</f>
        <v>2202212.28</v>
      </c>
      <c r="W34" s="321">
        <v>0</v>
      </c>
      <c r="X34" s="320">
        <f>ROUND(((+F34+N34+S34+I34)*2.436%),0)</f>
        <v>447049</v>
      </c>
      <c r="Y34" s="320">
        <f t="shared" si="17"/>
        <v>599507.6699999999</v>
      </c>
      <c r="Z34" s="320">
        <f t="shared" si="18"/>
        <v>399672</v>
      </c>
      <c r="AA34" s="321">
        <f t="shared" si="19"/>
        <v>799344</v>
      </c>
      <c r="AB34" s="320">
        <v>0</v>
      </c>
      <c r="AC34" s="320">
        <f t="shared" si="20"/>
        <v>1559900</v>
      </c>
      <c r="AD34" s="321">
        <f t="shared" si="21"/>
        <v>7837812.949999999</v>
      </c>
      <c r="AE34" s="320">
        <f t="shared" si="22"/>
        <v>29860827.05</v>
      </c>
      <c r="AF34" s="372"/>
      <c r="AG34" s="372"/>
      <c r="AH34" s="372"/>
      <c r="AI34" s="372"/>
      <c r="AP34" s="358"/>
      <c r="AQ34" s="358"/>
      <c r="AR34" s="359"/>
      <c r="AS34" s="359"/>
      <c r="AT34" s="359"/>
      <c r="AU34" s="359"/>
      <c r="AV34" s="359"/>
      <c r="AW34" s="359"/>
    </row>
    <row r="35" spans="1:49" ht="18" customHeight="1">
      <c r="A35" s="316" t="s">
        <v>365</v>
      </c>
      <c r="B35" s="342" t="s">
        <v>367</v>
      </c>
      <c r="C35" s="416">
        <v>1</v>
      </c>
      <c r="D35" s="351">
        <f>973472*D6</f>
        <v>1022145.6000000001</v>
      </c>
      <c r="E35" s="424"/>
      <c r="F35" s="321">
        <f t="shared" si="8"/>
        <v>12265747.200000001</v>
      </c>
      <c r="G35" s="320">
        <f t="shared" si="23"/>
        <v>813600</v>
      </c>
      <c r="H35" s="321">
        <f t="shared" si="24"/>
        <v>536400</v>
      </c>
      <c r="I35" s="320">
        <f t="shared" si="9"/>
        <v>511073</v>
      </c>
      <c r="J35" s="320">
        <f t="shared" si="10"/>
        <v>588618</v>
      </c>
      <c r="K35" s="320">
        <f t="shared" si="11"/>
        <v>613143</v>
      </c>
      <c r="L35" s="320">
        <f t="shared" si="12"/>
        <v>1277382</v>
      </c>
      <c r="M35" s="321">
        <f t="shared" si="13"/>
        <v>68143.04000000001</v>
      </c>
      <c r="N35" s="320">
        <v>0</v>
      </c>
      <c r="O35" s="320">
        <v>0</v>
      </c>
      <c r="P35" s="321">
        <f t="shared" si="14"/>
        <v>0</v>
      </c>
      <c r="Q35" s="320">
        <v>0</v>
      </c>
      <c r="R35" s="321">
        <f t="shared" si="15"/>
        <v>0</v>
      </c>
      <c r="S35" s="320">
        <f>6500000*1.05</f>
        <v>6825000</v>
      </c>
      <c r="T35" s="320">
        <v>0</v>
      </c>
      <c r="U35" s="406">
        <f t="shared" si="16"/>
        <v>1952580</v>
      </c>
      <c r="V35" s="320">
        <v>0</v>
      </c>
      <c r="W35" s="321">
        <v>0</v>
      </c>
      <c r="X35" s="320">
        <f>ROUND(((+F35+N35+S35+I35)*2.436%),0)</f>
        <v>477500</v>
      </c>
      <c r="Y35" s="320">
        <f t="shared" si="17"/>
        <v>640199.4360000001</v>
      </c>
      <c r="Z35" s="320">
        <f t="shared" si="18"/>
        <v>426800</v>
      </c>
      <c r="AA35" s="321">
        <f t="shared" si="19"/>
        <v>853599</v>
      </c>
      <c r="AB35" s="320">
        <f>ROUND((((+F35+E35+N35+S35+I35)*12%)/1*1),0)</f>
        <v>2352218</v>
      </c>
      <c r="AC35" s="320">
        <f t="shared" si="20"/>
        <v>1666155</v>
      </c>
      <c r="AD35" s="321">
        <f t="shared" si="21"/>
        <v>8369051.436000001</v>
      </c>
      <c r="AE35" s="320">
        <f t="shared" si="22"/>
        <v>31868157.676000003</v>
      </c>
      <c r="AP35" s="358"/>
      <c r="AQ35" s="358"/>
      <c r="AR35" s="359"/>
      <c r="AS35" s="359"/>
      <c r="AT35" s="359"/>
      <c r="AU35" s="359"/>
      <c r="AV35" s="359"/>
      <c r="AW35" s="359"/>
    </row>
    <row r="36" spans="1:49" ht="18" customHeight="1" thickBot="1">
      <c r="A36" s="316"/>
      <c r="B36" s="317"/>
      <c r="C36" s="416"/>
      <c r="D36" s="413"/>
      <c r="E36" s="424"/>
      <c r="F36" s="321"/>
      <c r="G36" s="320"/>
      <c r="H36" s="321" t="s">
        <v>68</v>
      </c>
      <c r="I36" s="320"/>
      <c r="J36" s="320"/>
      <c r="K36" s="320"/>
      <c r="L36" s="320"/>
      <c r="M36" s="321"/>
      <c r="N36" s="320"/>
      <c r="O36" s="320"/>
      <c r="P36" s="388"/>
      <c r="Q36" s="320"/>
      <c r="R36" s="321"/>
      <c r="S36" s="320"/>
      <c r="T36" s="320"/>
      <c r="U36" s="406"/>
      <c r="V36" s="403"/>
      <c r="W36" s="321"/>
      <c r="X36" s="320"/>
      <c r="Y36" s="320"/>
      <c r="Z36" s="320"/>
      <c r="AA36" s="321"/>
      <c r="AB36" s="320"/>
      <c r="AC36" s="320"/>
      <c r="AD36" s="388"/>
      <c r="AE36" s="403"/>
      <c r="AP36" s="358"/>
      <c r="AQ36" s="358"/>
      <c r="AR36" s="359"/>
      <c r="AS36" s="359"/>
      <c r="AT36" s="359"/>
      <c r="AU36" s="359"/>
      <c r="AV36" s="359"/>
      <c r="AW36" s="359"/>
    </row>
    <row r="37" spans="1:49" ht="18" customHeight="1" thickBot="1">
      <c r="A37" s="352" t="s">
        <v>155</v>
      </c>
      <c r="B37" s="353"/>
      <c r="C37" s="417">
        <f>+C10+C16+C26+C28+C20</f>
        <v>90</v>
      </c>
      <c r="D37" s="414">
        <f>+D10+D16+D26+D28+D20</f>
        <v>228921950.25</v>
      </c>
      <c r="E37" s="354">
        <f>+E10+E16+E26+E28+E20</f>
        <v>0</v>
      </c>
      <c r="F37" s="438">
        <f>+F10+F16+F26+F28+F20</f>
        <v>2787223383</v>
      </c>
      <c r="G37" s="337">
        <f>SUM(G29:G36)</f>
        <v>8136000</v>
      </c>
      <c r="H37" s="336">
        <f>SUM(H29:H36)</f>
        <v>5364000</v>
      </c>
      <c r="I37" s="312">
        <f aca="true" t="shared" si="25" ref="I37:P37">+I10+I16+I26+I28+I20</f>
        <v>84678694</v>
      </c>
      <c r="J37" s="312">
        <f t="shared" si="25"/>
        <v>122927459</v>
      </c>
      <c r="K37" s="312">
        <f t="shared" si="25"/>
        <v>128049434</v>
      </c>
      <c r="L37" s="312">
        <f t="shared" si="25"/>
        <v>266769656</v>
      </c>
      <c r="M37" s="355">
        <f t="shared" si="25"/>
        <v>15484574.350000001</v>
      </c>
      <c r="N37" s="312">
        <f t="shared" si="25"/>
        <v>64856894</v>
      </c>
      <c r="O37" s="312">
        <f t="shared" si="25"/>
        <v>289033372.5</v>
      </c>
      <c r="P37" s="355">
        <f t="shared" si="25"/>
        <v>353890266.5</v>
      </c>
      <c r="Q37" s="337">
        <f>+Q20</f>
        <v>60650120</v>
      </c>
      <c r="R37" s="408">
        <f>+R20</f>
        <v>60650120</v>
      </c>
      <c r="S37" s="312">
        <f aca="true" t="shared" si="26" ref="S37:AE37">+S10+S16+S26+S28+S20</f>
        <v>13650000</v>
      </c>
      <c r="T37" s="312">
        <f t="shared" si="26"/>
        <v>0</v>
      </c>
      <c r="U37" s="312">
        <f t="shared" si="26"/>
        <v>290137961</v>
      </c>
      <c r="V37" s="355">
        <f t="shared" si="26"/>
        <v>157050785.5155105</v>
      </c>
      <c r="W37" s="312">
        <f t="shared" si="26"/>
        <v>0</v>
      </c>
      <c r="X37" s="312">
        <f t="shared" si="26"/>
        <v>16127567</v>
      </c>
      <c r="Y37" s="312">
        <f t="shared" si="26"/>
        <v>96202495.92000002</v>
      </c>
      <c r="Z37" s="312">
        <f t="shared" si="26"/>
        <v>64134997</v>
      </c>
      <c r="AA37" s="355">
        <f t="shared" si="26"/>
        <v>128269994</v>
      </c>
      <c r="AB37" s="312">
        <f t="shared" si="26"/>
        <v>197844903</v>
      </c>
      <c r="AC37" s="312">
        <f t="shared" si="26"/>
        <v>250784762</v>
      </c>
      <c r="AD37" s="409">
        <f t="shared" si="26"/>
        <v>1200553465.4355106</v>
      </c>
      <c r="AE37" s="410">
        <f t="shared" si="26"/>
        <v>5047377052.28551</v>
      </c>
      <c r="AP37" s="358"/>
      <c r="AQ37" s="358"/>
      <c r="AR37" s="359"/>
      <c r="AS37" s="359"/>
      <c r="AT37" s="359"/>
      <c r="AU37" s="359"/>
      <c r="AV37" s="359"/>
      <c r="AW37" s="359"/>
    </row>
    <row r="38" spans="1:49" ht="18" customHeight="1">
      <c r="A38" s="382"/>
      <c r="B38" s="370"/>
      <c r="C38" s="370"/>
      <c r="D38" s="370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4"/>
      <c r="AB38" s="372"/>
      <c r="AC38" s="372"/>
      <c r="AD38" s="372"/>
      <c r="AP38" s="358"/>
      <c r="AQ38" s="358"/>
      <c r="AR38" s="359"/>
      <c r="AS38" s="359"/>
      <c r="AT38" s="359"/>
      <c r="AU38" s="359"/>
      <c r="AV38" s="359"/>
      <c r="AW38" s="359"/>
    </row>
    <row r="39" spans="1:49" ht="18" customHeight="1">
      <c r="A39" s="373"/>
      <c r="B39" s="370"/>
      <c r="C39" s="370"/>
      <c r="D39" s="370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4"/>
      <c r="AB39" s="372"/>
      <c r="AC39" s="372"/>
      <c r="AD39" s="372"/>
      <c r="AE39" s="372"/>
      <c r="AF39" s="372"/>
      <c r="AG39" s="372"/>
      <c r="AH39" s="372"/>
      <c r="AP39" s="358"/>
      <c r="AQ39" s="358"/>
      <c r="AR39" s="359"/>
      <c r="AS39" s="359"/>
      <c r="AT39" s="359"/>
      <c r="AU39" s="359"/>
      <c r="AV39" s="359"/>
      <c r="AW39" s="359"/>
    </row>
    <row r="40" spans="1:49" ht="18" customHeight="1">
      <c r="A40" s="373"/>
      <c r="B40" s="370"/>
      <c r="C40" s="370"/>
      <c r="D40" s="370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4"/>
      <c r="AB40" s="372"/>
      <c r="AC40" s="372"/>
      <c r="AD40" s="372"/>
      <c r="AE40" s="372"/>
      <c r="AF40" s="372"/>
      <c r="AG40" s="372"/>
      <c r="AH40" s="372"/>
      <c r="AP40" s="358"/>
      <c r="AQ40" s="358"/>
      <c r="AR40" s="359"/>
      <c r="AS40" s="359"/>
      <c r="AT40" s="359"/>
      <c r="AU40" s="359"/>
      <c r="AV40" s="359"/>
      <c r="AW40" s="359"/>
    </row>
    <row r="41" spans="1:49" ht="18" customHeight="1">
      <c r="A41" s="373"/>
      <c r="B41" s="370"/>
      <c r="C41" s="370"/>
      <c r="D41" s="370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4"/>
      <c r="AB41" s="372"/>
      <c r="AD41" s="372"/>
      <c r="AE41" s="372"/>
      <c r="AF41" s="372"/>
      <c r="AG41" s="372"/>
      <c r="AH41" s="372"/>
      <c r="AP41" s="358"/>
      <c r="AQ41" s="358"/>
      <c r="AR41" s="359"/>
      <c r="AS41" s="359"/>
      <c r="AT41" s="359"/>
      <c r="AU41" s="359"/>
      <c r="AV41" s="359"/>
      <c r="AW41" s="359"/>
    </row>
    <row r="42" spans="1:49" ht="18" customHeight="1">
      <c r="A42" s="379"/>
      <c r="AP42" s="358"/>
      <c r="AQ42" s="358"/>
      <c r="AR42" s="359"/>
      <c r="AS42" s="359"/>
      <c r="AT42" s="359"/>
      <c r="AU42" s="359"/>
      <c r="AV42" s="359"/>
      <c r="AW42" s="359"/>
    </row>
    <row r="43" spans="1:49" ht="18" customHeight="1">
      <c r="A43" s="373"/>
      <c r="B43" s="370"/>
      <c r="C43" s="370"/>
      <c r="D43" s="370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4"/>
      <c r="AB43" s="372"/>
      <c r="AC43" s="372"/>
      <c r="AD43" s="372"/>
      <c r="AE43" s="372"/>
      <c r="AF43" s="372"/>
      <c r="AG43" s="372"/>
      <c r="AH43" s="372"/>
      <c r="AP43" s="358"/>
      <c r="AQ43" s="358"/>
      <c r="AR43" s="359"/>
      <c r="AS43" s="359"/>
      <c r="AT43" s="359"/>
      <c r="AU43" s="359"/>
      <c r="AV43" s="359"/>
      <c r="AW43" s="359"/>
    </row>
    <row r="44" spans="1:49" ht="18" customHeight="1">
      <c r="A44" s="373"/>
      <c r="B44" s="370"/>
      <c r="C44" s="370"/>
      <c r="D44" s="370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4"/>
      <c r="AB44" s="372"/>
      <c r="AC44" s="372"/>
      <c r="AD44" s="372"/>
      <c r="AE44" s="372"/>
      <c r="AF44" s="372"/>
      <c r="AG44" s="372"/>
      <c r="AH44" s="372"/>
      <c r="AP44" s="358"/>
      <c r="AQ44" s="358"/>
      <c r="AR44" s="359"/>
      <c r="AS44" s="359"/>
      <c r="AT44" s="359"/>
      <c r="AU44" s="359"/>
      <c r="AV44" s="359"/>
      <c r="AW44" s="359"/>
    </row>
    <row r="45" spans="1:49" ht="18" customHeight="1">
      <c r="A45" s="373"/>
      <c r="B45" s="370"/>
      <c r="C45" s="370"/>
      <c r="D45" s="370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4"/>
      <c r="AB45" s="372"/>
      <c r="AD45" s="372"/>
      <c r="AE45" s="372"/>
      <c r="AF45" s="372"/>
      <c r="AG45" s="372"/>
      <c r="AH45" s="372"/>
      <c r="AP45" s="358"/>
      <c r="AQ45" s="358"/>
      <c r="AR45" s="359"/>
      <c r="AS45" s="359"/>
      <c r="AT45" s="359"/>
      <c r="AU45" s="359"/>
      <c r="AV45" s="359"/>
      <c r="AW45" s="359"/>
    </row>
    <row r="46" spans="1:49" ht="18" customHeight="1">
      <c r="A46" s="373"/>
      <c r="B46" s="370"/>
      <c r="C46" s="370"/>
      <c r="D46" s="370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4"/>
      <c r="AB46" s="372"/>
      <c r="AC46" s="372"/>
      <c r="AD46" s="372"/>
      <c r="AE46" s="372"/>
      <c r="AF46" s="372"/>
      <c r="AG46" s="372"/>
      <c r="AH46" s="372"/>
      <c r="AP46" s="358"/>
      <c r="AQ46" s="358"/>
      <c r="AR46" s="359"/>
      <c r="AS46" s="359"/>
      <c r="AT46" s="359"/>
      <c r="AU46" s="359"/>
      <c r="AV46" s="359"/>
      <c r="AW46" s="359"/>
    </row>
    <row r="47" spans="1:49" ht="18" customHeight="1">
      <c r="A47" s="373"/>
      <c r="B47" s="370"/>
      <c r="C47" s="370"/>
      <c r="D47" s="370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4"/>
      <c r="AB47" s="372"/>
      <c r="AC47" s="372"/>
      <c r="AD47" s="372"/>
      <c r="AE47" s="372"/>
      <c r="AF47" s="372"/>
      <c r="AG47" s="372"/>
      <c r="AH47" s="372"/>
      <c r="AP47" s="358"/>
      <c r="AQ47" s="358"/>
      <c r="AR47" s="359"/>
      <c r="AS47" s="359"/>
      <c r="AT47" s="359"/>
      <c r="AU47" s="359"/>
      <c r="AV47" s="359"/>
      <c r="AW47" s="359"/>
    </row>
    <row r="48" spans="1:49" ht="18" customHeight="1">
      <c r="A48" s="373"/>
      <c r="B48" s="370"/>
      <c r="C48" s="370"/>
      <c r="D48" s="370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4"/>
      <c r="AB48" s="372"/>
      <c r="AC48" s="372"/>
      <c r="AD48" s="372"/>
      <c r="AE48" s="372"/>
      <c r="AF48" s="372"/>
      <c r="AG48" s="372"/>
      <c r="AH48" s="372"/>
      <c r="AP48" s="358"/>
      <c r="AQ48" s="358"/>
      <c r="AR48" s="359"/>
      <c r="AS48" s="359"/>
      <c r="AT48" s="359"/>
      <c r="AU48" s="359"/>
      <c r="AV48" s="359"/>
      <c r="AW48" s="359"/>
    </row>
    <row r="49" spans="1:49" ht="18" customHeight="1">
      <c r="A49" s="373"/>
      <c r="B49" s="370"/>
      <c r="C49" s="370"/>
      <c r="D49" s="370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4"/>
      <c r="AB49" s="372"/>
      <c r="AD49" s="372"/>
      <c r="AE49" s="372"/>
      <c r="AF49" s="372"/>
      <c r="AG49" s="372"/>
      <c r="AH49" s="372"/>
      <c r="AP49" s="358"/>
      <c r="AQ49" s="358"/>
      <c r="AR49" s="359"/>
      <c r="AS49" s="359"/>
      <c r="AT49" s="359"/>
      <c r="AU49" s="359"/>
      <c r="AV49" s="359"/>
      <c r="AW49" s="359"/>
    </row>
    <row r="50" spans="1:49" ht="18" customHeight="1">
      <c r="A50" s="379"/>
      <c r="AP50" s="358"/>
      <c r="AQ50" s="358"/>
      <c r="AR50" s="359"/>
      <c r="AS50" s="359"/>
      <c r="AT50" s="359"/>
      <c r="AU50" s="359"/>
      <c r="AV50" s="359"/>
      <c r="AW50" s="359"/>
    </row>
    <row r="51" spans="1:34" ht="18" customHeight="1">
      <c r="A51" s="373"/>
      <c r="B51" s="370"/>
      <c r="C51" s="370"/>
      <c r="D51" s="370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4"/>
      <c r="AB51" s="372"/>
      <c r="AC51" s="372"/>
      <c r="AD51" s="372"/>
      <c r="AE51" s="372"/>
      <c r="AF51" s="372"/>
      <c r="AG51" s="372"/>
      <c r="AH51" s="372"/>
    </row>
    <row r="52" spans="1:34" ht="18" customHeight="1">
      <c r="A52" s="373"/>
      <c r="B52" s="370"/>
      <c r="C52" s="370"/>
      <c r="D52" s="370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4"/>
      <c r="AB52" s="372"/>
      <c r="AC52" s="372"/>
      <c r="AD52" s="372"/>
      <c r="AE52" s="372"/>
      <c r="AF52" s="372"/>
      <c r="AG52" s="372"/>
      <c r="AH52" s="372"/>
    </row>
    <row r="53" spans="1:34" ht="18" customHeight="1">
      <c r="A53" s="373"/>
      <c r="B53" s="370"/>
      <c r="C53" s="370"/>
      <c r="D53" s="370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4"/>
      <c r="AB53" s="372"/>
      <c r="AD53" s="372"/>
      <c r="AE53" s="372"/>
      <c r="AF53" s="372"/>
      <c r="AG53" s="372"/>
      <c r="AH53" s="372"/>
    </row>
    <row r="54" spans="1:34" ht="18" customHeight="1">
      <c r="A54" s="373"/>
      <c r="B54" s="370"/>
      <c r="C54" s="370"/>
      <c r="D54" s="370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4"/>
      <c r="AB54" s="372"/>
      <c r="AC54" s="372"/>
      <c r="AD54" s="372"/>
      <c r="AE54" s="372"/>
      <c r="AF54" s="372"/>
      <c r="AG54" s="372"/>
      <c r="AH54" s="372"/>
    </row>
    <row r="55" spans="1:34" ht="18" customHeight="1">
      <c r="A55" s="373"/>
      <c r="B55" s="370"/>
      <c r="C55" s="370"/>
      <c r="D55" s="370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4"/>
      <c r="AB55" s="372"/>
      <c r="AC55" s="372"/>
      <c r="AD55" s="372"/>
      <c r="AE55" s="372"/>
      <c r="AF55" s="372"/>
      <c r="AG55" s="372"/>
      <c r="AH55" s="372"/>
    </row>
    <row r="56" spans="1:34" ht="18" customHeight="1">
      <c r="A56" s="373"/>
      <c r="B56" s="370"/>
      <c r="C56" s="370"/>
      <c r="D56" s="370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4"/>
      <c r="AB56" s="372"/>
      <c r="AC56" s="372"/>
      <c r="AD56" s="372"/>
      <c r="AE56" s="372"/>
      <c r="AF56" s="372"/>
      <c r="AG56" s="372"/>
      <c r="AH56" s="372"/>
    </row>
    <row r="57" spans="1:35" ht="18" customHeight="1">
      <c r="A57" s="380"/>
      <c r="B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</row>
    <row r="58" spans="1:35" ht="18" customHeight="1">
      <c r="A58" s="380"/>
      <c r="B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</row>
    <row r="59" spans="1:30" ht="18" customHeight="1">
      <c r="A59" s="373"/>
      <c r="B59" s="370"/>
      <c r="C59" s="370"/>
      <c r="D59" s="370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4"/>
      <c r="AB59" s="372"/>
      <c r="AC59" s="372"/>
      <c r="AD59" s="372"/>
    </row>
    <row r="60" spans="1:34" ht="18" customHeight="1">
      <c r="A60" s="383"/>
      <c r="B60" s="370"/>
      <c r="C60" s="370"/>
      <c r="D60" s="370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4"/>
      <c r="AB60" s="372"/>
      <c r="AC60" s="372"/>
      <c r="AD60" s="372"/>
      <c r="AE60" s="372"/>
      <c r="AF60" s="372"/>
      <c r="AG60" s="372"/>
      <c r="AH60" s="372"/>
    </row>
    <row r="61" spans="1:34" ht="18" customHeight="1">
      <c r="A61" s="383"/>
      <c r="B61" s="370"/>
      <c r="C61" s="370"/>
      <c r="D61" s="370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4"/>
      <c r="AB61" s="372"/>
      <c r="AD61" s="372"/>
      <c r="AE61" s="372"/>
      <c r="AF61" s="372"/>
      <c r="AG61" s="372"/>
      <c r="AH61" s="372"/>
    </row>
    <row r="62" spans="1:34" ht="18" customHeight="1">
      <c r="A62" s="383"/>
      <c r="B62" s="370"/>
      <c r="C62" s="370"/>
      <c r="D62" s="370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4"/>
      <c r="AB62" s="372"/>
      <c r="AC62" s="372"/>
      <c r="AD62" s="372"/>
      <c r="AE62" s="372"/>
      <c r="AF62" s="372"/>
      <c r="AG62" s="372"/>
      <c r="AH62" s="372"/>
    </row>
    <row r="63" spans="1:34" ht="18" customHeight="1">
      <c r="A63" s="383"/>
      <c r="B63" s="370"/>
      <c r="C63" s="370"/>
      <c r="D63" s="370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4"/>
      <c r="AB63" s="372"/>
      <c r="AC63" s="372"/>
      <c r="AD63" s="372"/>
      <c r="AE63" s="372"/>
      <c r="AF63" s="372"/>
      <c r="AG63" s="372"/>
      <c r="AH63" s="372"/>
    </row>
    <row r="64" spans="1:34" ht="18" customHeight="1">
      <c r="A64" s="383"/>
      <c r="B64" s="370"/>
      <c r="C64" s="370"/>
      <c r="D64" s="370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4"/>
      <c r="AB64" s="372"/>
      <c r="AC64" s="372"/>
      <c r="AD64" s="372"/>
      <c r="AE64" s="372"/>
      <c r="AF64" s="372"/>
      <c r="AG64" s="372"/>
      <c r="AH64" s="372"/>
    </row>
    <row r="65" spans="1:35" ht="18" customHeight="1">
      <c r="A65" s="383"/>
      <c r="B65" s="370"/>
      <c r="C65" s="370"/>
      <c r="D65" s="370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4"/>
      <c r="AB65" s="372"/>
      <c r="AD65" s="372"/>
      <c r="AE65" s="372"/>
      <c r="AF65" s="372"/>
      <c r="AG65" s="372"/>
      <c r="AH65" s="372"/>
      <c r="AI65" s="372"/>
    </row>
    <row r="66" spans="1:34" ht="18" customHeight="1">
      <c r="A66" s="383"/>
      <c r="B66" s="370"/>
      <c r="C66" s="370"/>
      <c r="D66" s="370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4"/>
      <c r="AB66" s="372"/>
      <c r="AC66" s="372"/>
      <c r="AD66" s="372"/>
      <c r="AE66" s="372"/>
      <c r="AF66" s="372"/>
      <c r="AG66" s="372"/>
      <c r="AH66" s="372"/>
    </row>
    <row r="67" spans="1:34" ht="18" customHeight="1">
      <c r="A67" s="383"/>
      <c r="B67" s="370"/>
      <c r="C67" s="370"/>
      <c r="D67" s="370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4"/>
      <c r="AB67" s="372"/>
      <c r="AC67" s="372"/>
      <c r="AD67" s="372"/>
      <c r="AE67" s="372"/>
      <c r="AF67" s="372"/>
      <c r="AG67" s="372"/>
      <c r="AH67" s="372"/>
    </row>
    <row r="68" spans="1:34" ht="18" customHeight="1">
      <c r="A68" s="383"/>
      <c r="B68" s="370"/>
      <c r="C68" s="370"/>
      <c r="D68" s="370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4"/>
      <c r="AB68" s="372"/>
      <c r="AC68" s="372"/>
      <c r="AD68" s="372"/>
      <c r="AE68" s="372"/>
      <c r="AF68" s="372"/>
      <c r="AG68" s="372"/>
      <c r="AH68" s="372"/>
    </row>
    <row r="69" spans="1:34" ht="18" customHeight="1">
      <c r="A69" s="383"/>
      <c r="B69" s="370"/>
      <c r="C69" s="370"/>
      <c r="D69" s="370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4"/>
      <c r="AB69" s="372"/>
      <c r="AD69" s="372"/>
      <c r="AE69" s="372"/>
      <c r="AF69" s="372"/>
      <c r="AG69" s="372"/>
      <c r="AH69" s="372"/>
    </row>
    <row r="70" spans="1:34" ht="18" customHeight="1">
      <c r="A70" s="383"/>
      <c r="B70" s="370"/>
      <c r="C70" s="370"/>
      <c r="D70" s="370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4"/>
      <c r="AB70" s="372"/>
      <c r="AC70" s="372"/>
      <c r="AD70" s="372"/>
      <c r="AE70" s="372"/>
      <c r="AF70" s="372"/>
      <c r="AG70" s="372"/>
      <c r="AH70" s="372"/>
    </row>
    <row r="71" spans="1:34" ht="18" customHeight="1">
      <c r="A71" s="383"/>
      <c r="B71" s="370"/>
      <c r="C71" s="370"/>
      <c r="D71" s="370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4"/>
      <c r="AB71" s="372"/>
      <c r="AC71" s="372"/>
      <c r="AD71" s="372"/>
      <c r="AE71" s="372"/>
      <c r="AF71" s="372"/>
      <c r="AG71" s="372"/>
      <c r="AH71" s="372"/>
    </row>
    <row r="72" spans="1:35" ht="18" customHeight="1">
      <c r="A72" s="380"/>
      <c r="B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</row>
    <row r="73" spans="1:35" ht="18" customHeight="1">
      <c r="A73" s="380"/>
      <c r="B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</row>
    <row r="74" spans="1:30" ht="12">
      <c r="A74" s="373"/>
      <c r="B74" s="370"/>
      <c r="C74" s="370"/>
      <c r="D74" s="370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4"/>
      <c r="AB74" s="372"/>
      <c r="AC74" s="372"/>
      <c r="AD74" s="372"/>
    </row>
    <row r="75" spans="1:30" ht="12" hidden="1">
      <c r="A75" s="373"/>
      <c r="B75" s="370"/>
      <c r="C75" s="370"/>
      <c r="D75" s="370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4"/>
      <c r="AB75" s="372"/>
      <c r="AC75" s="372"/>
      <c r="AD75" s="372"/>
    </row>
    <row r="76" spans="1:30" ht="12" hidden="1">
      <c r="A76" s="373"/>
      <c r="B76" s="370"/>
      <c r="C76" s="370"/>
      <c r="D76" s="370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4"/>
      <c r="AB76" s="372"/>
      <c r="AC76" s="372"/>
      <c r="AD76" s="372"/>
    </row>
    <row r="77" spans="1:30" ht="12" hidden="1">
      <c r="A77" s="373"/>
      <c r="B77" s="370"/>
      <c r="C77" s="370"/>
      <c r="D77" s="370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4"/>
      <c r="AB77" s="372"/>
      <c r="AD77" s="372"/>
    </row>
    <row r="78" spans="1:30" ht="12" hidden="1">
      <c r="A78" s="373"/>
      <c r="B78" s="370"/>
      <c r="C78" s="370"/>
      <c r="D78" s="370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4"/>
      <c r="AB78" s="372"/>
      <c r="AC78" s="372"/>
      <c r="AD78" s="372"/>
    </row>
    <row r="79" spans="1:30" ht="12" hidden="1">
      <c r="A79" s="373"/>
      <c r="B79" s="370"/>
      <c r="C79" s="370"/>
      <c r="D79" s="370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4"/>
      <c r="AB79" s="372"/>
      <c r="AC79" s="372"/>
      <c r="AD79" s="372"/>
    </row>
    <row r="80" spans="1:30" ht="12" hidden="1">
      <c r="A80" s="370"/>
      <c r="B80" s="370"/>
      <c r="C80" s="370"/>
      <c r="D80" s="370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4"/>
      <c r="AB80" s="372"/>
      <c r="AC80" s="372"/>
      <c r="AD80" s="372"/>
    </row>
    <row r="81" spans="7:21" ht="12" hidden="1">
      <c r="G81" s="372"/>
      <c r="I81" s="372"/>
      <c r="J81" s="372"/>
      <c r="K81" s="372"/>
      <c r="L81" s="372"/>
      <c r="M81" s="372"/>
      <c r="N81" s="372"/>
      <c r="U81" s="374"/>
    </row>
    <row r="82" spans="7:21" ht="12" hidden="1">
      <c r="G82" s="372"/>
      <c r="I82" s="372"/>
      <c r="J82" s="372"/>
      <c r="K82" s="372"/>
      <c r="L82" s="372"/>
      <c r="M82" s="372"/>
      <c r="N82" s="372"/>
      <c r="U82" s="374"/>
    </row>
    <row r="83" spans="7:21" ht="12" hidden="1">
      <c r="G83" s="372"/>
      <c r="I83" s="372"/>
      <c r="J83" s="372"/>
      <c r="K83" s="372"/>
      <c r="L83" s="372"/>
      <c r="M83" s="372"/>
      <c r="N83" s="372"/>
      <c r="U83" s="374"/>
    </row>
    <row r="84" spans="7:21" ht="12" hidden="1">
      <c r="G84" s="372"/>
      <c r="I84" s="372"/>
      <c r="J84" s="372"/>
      <c r="K84" s="372"/>
      <c r="L84" s="372"/>
      <c r="M84" s="372"/>
      <c r="N84" s="372"/>
      <c r="U84" s="374"/>
    </row>
    <row r="85" spans="7:14" ht="12" hidden="1">
      <c r="G85" s="372"/>
      <c r="I85" s="372"/>
      <c r="J85" s="372"/>
      <c r="K85" s="372"/>
      <c r="L85" s="372"/>
      <c r="M85" s="372"/>
      <c r="N85" s="372"/>
    </row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/>
    <row r="102" ht="12"/>
    <row r="103" ht="12"/>
  </sheetData>
  <sheetProtection/>
  <mergeCells count="17">
    <mergeCell ref="P7:P8"/>
    <mergeCell ref="C7:C8"/>
    <mergeCell ref="D7:F7"/>
    <mergeCell ref="G7:H7"/>
    <mergeCell ref="I7:M7"/>
    <mergeCell ref="N7:N8"/>
    <mergeCell ref="O7:O8"/>
    <mergeCell ref="A1:AE1"/>
    <mergeCell ref="A2:AE2"/>
    <mergeCell ref="A5:C5"/>
    <mergeCell ref="Q7:R7"/>
    <mergeCell ref="S7:S8"/>
    <mergeCell ref="T7:T8"/>
    <mergeCell ref="U7:AD7"/>
    <mergeCell ref="AE7:AE8"/>
    <mergeCell ref="A7:A8"/>
    <mergeCell ref="B7:B8"/>
  </mergeCells>
  <printOptions horizontalCentered="1" verticalCentered="1"/>
  <pageMargins left="0.11811023622047245" right="0.46" top="0.27" bottom="1" header="0" footer="0"/>
  <pageSetup fitToHeight="1" fitToWidth="1" horizontalDpi="240" verticalDpi="240" orientation="landscape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="75" zoomScaleNormal="75" zoomScalePageLayoutView="0" workbookViewId="0" topLeftCell="A1">
      <selection activeCell="I16" sqref="I16"/>
    </sheetView>
  </sheetViews>
  <sheetFormatPr defaultColWidth="0" defaultRowHeight="12.75" zeroHeight="1"/>
  <cols>
    <col min="1" max="1" width="6.28125" style="0" customWidth="1"/>
    <col min="2" max="2" width="29.7109375" style="0" customWidth="1"/>
    <col min="3" max="5" width="11.421875" style="0" customWidth="1"/>
    <col min="6" max="6" width="12.7109375" style="0" customWidth="1"/>
    <col min="7" max="7" width="11.421875" style="0" customWidth="1"/>
    <col min="8" max="8" width="5.8515625" style="0" customWidth="1"/>
    <col min="9" max="9" width="11.421875" style="0" customWidth="1"/>
    <col min="10" max="16384" width="0" style="0" hidden="1" customWidth="1"/>
  </cols>
  <sheetData>
    <row r="1" spans="1:8" ht="12.75">
      <c r="A1" s="51"/>
      <c r="B1" s="52"/>
      <c r="C1" s="52"/>
      <c r="D1" s="52"/>
      <c r="E1" s="52"/>
      <c r="F1" s="52"/>
      <c r="G1" s="52"/>
      <c r="H1" s="48"/>
    </row>
    <row r="2" spans="1:8" ht="20.25">
      <c r="A2" s="53"/>
      <c r="B2" s="172" t="s">
        <v>279</v>
      </c>
      <c r="C2" s="54"/>
      <c r="D2" s="54"/>
      <c r="E2" s="54"/>
      <c r="F2" s="54"/>
      <c r="G2" s="54"/>
      <c r="H2" s="55"/>
    </row>
    <row r="3" spans="1:8" ht="12.75">
      <c r="A3" s="53"/>
      <c r="B3" s="56" t="s">
        <v>301</v>
      </c>
      <c r="C3" s="54"/>
      <c r="D3" s="54"/>
      <c r="E3" s="54"/>
      <c r="F3" s="54"/>
      <c r="G3" s="54"/>
      <c r="H3" s="55"/>
    </row>
    <row r="4" spans="1:8" ht="12.75">
      <c r="A4" s="53"/>
      <c r="B4" s="56" t="s">
        <v>302</v>
      </c>
      <c r="C4" s="54"/>
      <c r="D4" s="54"/>
      <c r="E4" s="54"/>
      <c r="F4" s="54"/>
      <c r="G4" s="54"/>
      <c r="H4" s="55"/>
    </row>
    <row r="5" spans="1:8" ht="12.75">
      <c r="A5" s="53"/>
      <c r="B5" s="56" t="s">
        <v>220</v>
      </c>
      <c r="C5" s="54"/>
      <c r="D5" s="54"/>
      <c r="E5" s="54"/>
      <c r="F5" s="54"/>
      <c r="G5" s="54"/>
      <c r="H5" s="55"/>
    </row>
    <row r="6" spans="1:8" ht="12.75">
      <c r="A6" s="53"/>
      <c r="B6" s="56"/>
      <c r="C6" s="54"/>
      <c r="D6" s="54"/>
      <c r="E6" s="54"/>
      <c r="F6" s="54"/>
      <c r="G6" s="54"/>
      <c r="H6" s="55"/>
    </row>
    <row r="7" spans="1:8" ht="12.75">
      <c r="A7" s="53"/>
      <c r="B7" s="4" t="str">
        <f>+'FORMULARIO 1 - INGRESOS'!A7</f>
        <v>ÓRGANO: SUPERINTENDENCIA DE LA ECONOMIA SOLIDARIA</v>
      </c>
      <c r="C7" s="16"/>
      <c r="D7" s="16"/>
      <c r="E7" s="16"/>
      <c r="F7" s="16"/>
      <c r="G7" s="16"/>
      <c r="H7" s="55"/>
    </row>
    <row r="8" spans="1:8" ht="12.75">
      <c r="A8" s="53"/>
      <c r="B8" s="4"/>
      <c r="C8" s="16"/>
      <c r="D8" s="16"/>
      <c r="E8" s="16"/>
      <c r="F8" s="16"/>
      <c r="G8" s="16"/>
      <c r="H8" s="55"/>
    </row>
    <row r="9" spans="1:8" ht="15.75">
      <c r="A9" s="53"/>
      <c r="B9" s="69" t="s">
        <v>303</v>
      </c>
      <c r="C9" s="16"/>
      <c r="D9" s="16"/>
      <c r="E9" s="16"/>
      <c r="F9" s="16"/>
      <c r="G9" s="16" t="s">
        <v>55</v>
      </c>
      <c r="H9" s="55"/>
    </row>
    <row r="10" spans="1:8" ht="16.5" thickBot="1">
      <c r="A10" s="53"/>
      <c r="B10" s="69"/>
      <c r="C10" s="16"/>
      <c r="D10" s="16"/>
      <c r="E10" s="16"/>
      <c r="F10" s="16"/>
      <c r="G10" s="16"/>
      <c r="H10" s="55"/>
    </row>
    <row r="11" spans="1:8" ht="12.75">
      <c r="A11" s="53"/>
      <c r="B11" s="60" t="s">
        <v>304</v>
      </c>
      <c r="C11" s="61" t="s">
        <v>144</v>
      </c>
      <c r="D11" s="61" t="s">
        <v>148</v>
      </c>
      <c r="E11" s="61" t="s">
        <v>148</v>
      </c>
      <c r="F11" s="61" t="s">
        <v>156</v>
      </c>
      <c r="G11" s="62" t="s">
        <v>157</v>
      </c>
      <c r="H11" s="55"/>
    </row>
    <row r="12" spans="1:8" ht="12.75">
      <c r="A12" s="53"/>
      <c r="B12" s="63"/>
      <c r="C12" s="64"/>
      <c r="D12" s="64" t="s">
        <v>158</v>
      </c>
      <c r="E12" s="64" t="s">
        <v>159</v>
      </c>
      <c r="F12" s="64" t="s">
        <v>160</v>
      </c>
      <c r="G12" s="65" t="s">
        <v>161</v>
      </c>
      <c r="H12" s="55"/>
    </row>
    <row r="13" spans="1:8" ht="13.5" thickBot="1">
      <c r="A13" s="53"/>
      <c r="B13" s="66"/>
      <c r="C13" s="67"/>
      <c r="D13" s="67"/>
      <c r="E13" s="67"/>
      <c r="F13" s="67"/>
      <c r="G13" s="68" t="s">
        <v>162</v>
      </c>
      <c r="H13" s="55"/>
    </row>
    <row r="14" spans="1:8" ht="13.5" thickBot="1">
      <c r="A14" s="53"/>
      <c r="B14" s="265" t="s">
        <v>163</v>
      </c>
      <c r="C14" s="266"/>
      <c r="D14" s="266"/>
      <c r="E14" s="266"/>
      <c r="F14" s="266"/>
      <c r="G14" s="267"/>
      <c r="H14" s="55"/>
    </row>
    <row r="15" spans="1:8" ht="12.75">
      <c r="A15" s="53"/>
      <c r="B15" s="59" t="s">
        <v>151</v>
      </c>
      <c r="C15" s="50"/>
      <c r="D15" s="50">
        <v>7</v>
      </c>
      <c r="E15" s="50">
        <v>3</v>
      </c>
      <c r="F15" s="50">
        <v>7</v>
      </c>
      <c r="G15" s="55">
        <v>43215</v>
      </c>
      <c r="H15" s="55"/>
    </row>
    <row r="16" spans="1:8" ht="12.75">
      <c r="A16" s="53"/>
      <c r="B16" s="59" t="s">
        <v>152</v>
      </c>
      <c r="C16" s="50"/>
      <c r="D16" s="50">
        <v>3</v>
      </c>
      <c r="E16" s="50">
        <v>0</v>
      </c>
      <c r="F16" s="50">
        <v>3</v>
      </c>
      <c r="G16" s="55">
        <v>15767</v>
      </c>
      <c r="H16" s="55"/>
    </row>
    <row r="17" spans="1:8" ht="12.75">
      <c r="A17" s="53"/>
      <c r="B17" s="59" t="s">
        <v>153</v>
      </c>
      <c r="C17" s="50"/>
      <c r="D17" s="50">
        <v>60</v>
      </c>
      <c r="E17" s="50">
        <v>5</v>
      </c>
      <c r="F17" s="50">
        <v>60</v>
      </c>
      <c r="G17" s="55">
        <v>145957</v>
      </c>
      <c r="H17" s="55"/>
    </row>
    <row r="18" spans="1:8" ht="12.75">
      <c r="A18" s="53"/>
      <c r="B18" s="59" t="s">
        <v>354</v>
      </c>
      <c r="C18" s="50"/>
      <c r="D18" s="50">
        <v>6</v>
      </c>
      <c r="E18" s="50">
        <v>0</v>
      </c>
      <c r="F18" s="50">
        <v>6</v>
      </c>
      <c r="G18" s="55">
        <v>9121</v>
      </c>
      <c r="H18" s="55"/>
    </row>
    <row r="19" spans="1:8" ht="12.75">
      <c r="A19" s="53"/>
      <c r="B19" s="59" t="s">
        <v>154</v>
      </c>
      <c r="C19" s="50"/>
      <c r="D19" s="50">
        <v>14</v>
      </c>
      <c r="E19" s="50">
        <v>0</v>
      </c>
      <c r="F19" s="50">
        <v>14</v>
      </c>
      <c r="G19" s="55">
        <v>14862</v>
      </c>
      <c r="H19" s="55"/>
    </row>
    <row r="20" spans="1:8" ht="12.75">
      <c r="A20" s="53"/>
      <c r="B20" s="59"/>
      <c r="C20" s="50"/>
      <c r="D20" s="50"/>
      <c r="E20" s="50"/>
      <c r="F20" s="50"/>
      <c r="G20" s="55"/>
      <c r="H20" s="55"/>
    </row>
    <row r="21" spans="1:8" ht="12.75">
      <c r="A21" s="53"/>
      <c r="B21" s="59"/>
      <c r="C21" s="50"/>
      <c r="D21" s="50"/>
      <c r="E21" s="50"/>
      <c r="F21" s="50"/>
      <c r="G21" s="55"/>
      <c r="H21" s="55"/>
    </row>
    <row r="22" spans="1:8" ht="12.75">
      <c r="A22" s="53"/>
      <c r="B22" s="268" t="s">
        <v>164</v>
      </c>
      <c r="C22" s="269"/>
      <c r="D22" s="269">
        <f>SUM(D15:D19)</f>
        <v>90</v>
      </c>
      <c r="E22" s="439">
        <f>SUM(E15:E19)</f>
        <v>8</v>
      </c>
      <c r="F22" s="439">
        <f>SUM(F15:F19)</f>
        <v>90</v>
      </c>
      <c r="G22" s="440">
        <f>SUM(G15:G19)</f>
        <v>228922</v>
      </c>
      <c r="H22" s="55"/>
    </row>
    <row r="23" spans="1:8" ht="12.75">
      <c r="A23" s="53"/>
      <c r="B23" s="272" t="s">
        <v>165</v>
      </c>
      <c r="C23" s="273"/>
      <c r="D23" s="273"/>
      <c r="E23" s="274"/>
      <c r="F23" s="274"/>
      <c r="G23" s="275"/>
      <c r="H23" s="55"/>
    </row>
    <row r="24" spans="1:8" ht="12.75">
      <c r="A24" s="53"/>
      <c r="B24" s="59"/>
      <c r="C24" s="50"/>
      <c r="D24" s="50"/>
      <c r="E24" s="50"/>
      <c r="F24" s="50"/>
      <c r="G24" s="55"/>
      <c r="H24" s="55"/>
    </row>
    <row r="25" spans="1:8" ht="12.75">
      <c r="A25" s="53"/>
      <c r="B25" s="59"/>
      <c r="C25" s="50"/>
      <c r="D25" s="50"/>
      <c r="E25" s="50"/>
      <c r="F25" s="50"/>
      <c r="G25" s="55"/>
      <c r="H25" s="55"/>
    </row>
    <row r="26" spans="1:8" ht="12.75">
      <c r="A26" s="53"/>
      <c r="B26" s="59"/>
      <c r="C26" s="50"/>
      <c r="D26" s="50"/>
      <c r="E26" s="50"/>
      <c r="F26" s="50"/>
      <c r="G26" s="55"/>
      <c r="H26" s="55"/>
    </row>
    <row r="27" spans="1:8" ht="12.75">
      <c r="A27" s="53"/>
      <c r="B27" s="59"/>
      <c r="C27" s="50"/>
      <c r="D27" s="50"/>
      <c r="E27" s="50"/>
      <c r="F27" s="50"/>
      <c r="G27" s="55"/>
      <c r="H27" s="55"/>
    </row>
    <row r="28" spans="1:8" ht="12.75">
      <c r="A28" s="53"/>
      <c r="B28" s="59"/>
      <c r="C28" s="50"/>
      <c r="D28" s="50"/>
      <c r="E28" s="50"/>
      <c r="F28" s="50"/>
      <c r="G28" s="55"/>
      <c r="H28" s="55"/>
    </row>
    <row r="29" spans="1:8" ht="12.75">
      <c r="A29" s="53"/>
      <c r="B29" s="59"/>
      <c r="C29" s="50"/>
      <c r="D29" s="50"/>
      <c r="E29" s="50"/>
      <c r="F29" s="50"/>
      <c r="G29" s="55"/>
      <c r="H29" s="55"/>
    </row>
    <row r="30" spans="1:8" ht="12.75">
      <c r="A30" s="53"/>
      <c r="B30" s="59"/>
      <c r="C30" s="50"/>
      <c r="D30" s="50"/>
      <c r="E30" s="50"/>
      <c r="F30" s="50"/>
      <c r="G30" s="55"/>
      <c r="H30" s="55"/>
    </row>
    <row r="31" spans="1:8" ht="12.75">
      <c r="A31" s="53"/>
      <c r="B31" s="268" t="s">
        <v>166</v>
      </c>
      <c r="C31" s="270"/>
      <c r="D31" s="270"/>
      <c r="E31" s="270"/>
      <c r="F31" s="270"/>
      <c r="G31" s="271"/>
      <c r="H31" s="55"/>
    </row>
    <row r="32" spans="1:8" ht="13.5" thickBot="1">
      <c r="A32" s="53"/>
      <c r="B32" s="276" t="s">
        <v>167</v>
      </c>
      <c r="C32" s="277"/>
      <c r="D32" s="277"/>
      <c r="E32" s="277"/>
      <c r="F32" s="277"/>
      <c r="G32" s="441">
        <f>G22</f>
        <v>228922</v>
      </c>
      <c r="H32" s="55"/>
    </row>
    <row r="33" spans="1:8" ht="12.75">
      <c r="A33" s="53"/>
      <c r="B33" s="16"/>
      <c r="C33" s="16"/>
      <c r="D33" s="16"/>
      <c r="E33" s="16"/>
      <c r="F33" s="16"/>
      <c r="G33" s="16"/>
      <c r="H33" s="55"/>
    </row>
    <row r="34" spans="1:8" ht="12.75">
      <c r="A34" s="53"/>
      <c r="B34" s="16"/>
      <c r="C34" s="16"/>
      <c r="D34" s="16"/>
      <c r="E34" s="16"/>
      <c r="F34" s="16"/>
      <c r="G34" s="16"/>
      <c r="H34" s="55"/>
    </row>
    <row r="35" spans="1:8" ht="12.75">
      <c r="A35" s="53"/>
      <c r="B35" s="16"/>
      <c r="C35" s="16"/>
      <c r="D35" s="16"/>
      <c r="E35" s="16"/>
      <c r="F35" s="16"/>
      <c r="G35" s="16"/>
      <c r="H35" s="55"/>
    </row>
    <row r="36" spans="1:8" ht="12.75">
      <c r="A36" s="53"/>
      <c r="B36" s="16"/>
      <c r="C36" s="16"/>
      <c r="D36" s="16"/>
      <c r="E36" s="16"/>
      <c r="F36" s="16"/>
      <c r="G36" s="16"/>
      <c r="H36" s="55"/>
    </row>
    <row r="37" spans="1:8" ht="12.75">
      <c r="A37" s="53"/>
      <c r="B37" s="16"/>
      <c r="C37" s="16"/>
      <c r="D37" s="16"/>
      <c r="E37" s="16"/>
      <c r="F37" s="16"/>
      <c r="G37" s="16"/>
      <c r="H37" s="55"/>
    </row>
    <row r="38" spans="1:8" ht="12.75">
      <c r="A38" s="53"/>
      <c r="B38" s="16"/>
      <c r="C38" s="16"/>
      <c r="D38" s="16"/>
      <c r="E38" s="16"/>
      <c r="F38" s="16"/>
      <c r="G38" s="16"/>
      <c r="H38" s="55"/>
    </row>
    <row r="39" spans="1:8" ht="12.75">
      <c r="A39" s="53"/>
      <c r="B39" s="4" t="s">
        <v>168</v>
      </c>
      <c r="C39" s="16"/>
      <c r="D39" s="16"/>
      <c r="E39" s="1"/>
      <c r="F39" s="1"/>
      <c r="G39" s="1"/>
      <c r="H39" s="55"/>
    </row>
    <row r="40" spans="1:8" ht="12.75">
      <c r="A40" s="53"/>
      <c r="B40" s="16"/>
      <c r="C40" s="16"/>
      <c r="D40" s="16"/>
      <c r="E40" s="56" t="s">
        <v>169</v>
      </c>
      <c r="F40" s="54"/>
      <c r="G40" s="54"/>
      <c r="H40" s="55"/>
    </row>
    <row r="41" spans="1:8" ht="12.75">
      <c r="A41" s="53"/>
      <c r="B41" s="16"/>
      <c r="C41" s="16"/>
      <c r="D41" s="16"/>
      <c r="E41" s="16"/>
      <c r="F41" s="16"/>
      <c r="G41" s="16"/>
      <c r="H41" s="55"/>
    </row>
    <row r="42" spans="1:8" ht="12.75">
      <c r="A42" s="53"/>
      <c r="B42" s="16"/>
      <c r="C42" s="16"/>
      <c r="D42" s="16"/>
      <c r="E42" s="16"/>
      <c r="F42" s="16"/>
      <c r="G42" s="16"/>
      <c r="H42" s="55"/>
    </row>
    <row r="43" spans="1:8" ht="13.5" thickBot="1">
      <c r="A43" s="57"/>
      <c r="B43" s="58"/>
      <c r="C43" s="58"/>
      <c r="D43" s="58"/>
      <c r="E43" s="58"/>
      <c r="F43" s="58"/>
      <c r="G43" s="58"/>
      <c r="H43" s="49"/>
    </row>
    <row r="44" ht="12.75"/>
  </sheetData>
  <sheetProtection/>
  <printOptions horizontalCentered="1" verticalCentered="1"/>
  <pageMargins left="0.75" right="0.75" top="1" bottom="1" header="0.5118110236220472" footer="0.5118110236220472"/>
  <pageSetup fitToHeight="1" fitToWidth="1" horizontalDpi="300" verticalDpi="3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75" zoomScaleNormal="75" zoomScalePageLayoutView="0" workbookViewId="0" topLeftCell="A65536">
      <selection activeCell="L8" sqref="L8"/>
    </sheetView>
  </sheetViews>
  <sheetFormatPr defaultColWidth="0" defaultRowHeight="12.75" zeroHeight="1"/>
  <cols>
    <col min="1" max="1" width="11.421875" style="0" customWidth="1"/>
    <col min="2" max="2" width="13.28125" style="0" customWidth="1"/>
    <col min="3" max="4" width="11.421875" style="0" customWidth="1"/>
    <col min="5" max="5" width="15.00390625" style="0" customWidth="1"/>
    <col min="6" max="9" width="11.421875" style="0" customWidth="1"/>
    <col min="10" max="10" width="15.00390625" style="0" customWidth="1"/>
    <col min="11" max="12" width="11.421875" style="0" customWidth="1"/>
    <col min="13" max="13" width="13.140625" style="0" customWidth="1"/>
    <col min="14" max="14" width="11.421875" style="0" customWidth="1"/>
    <col min="15" max="16384" width="0" style="0" hidden="1" customWidth="1"/>
  </cols>
  <sheetData>
    <row r="1" spans="1:13" ht="18">
      <c r="A1" s="31" t="s">
        <v>279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>
      <c r="A2" s="31" t="s">
        <v>216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>
      <c r="A3" s="25" t="s">
        <v>221</v>
      </c>
      <c r="B3" s="25"/>
      <c r="C3" s="25"/>
      <c r="D3" s="25"/>
      <c r="E3" s="25"/>
      <c r="F3" s="31"/>
      <c r="G3" s="31"/>
      <c r="H3" s="31"/>
      <c r="I3" s="31"/>
      <c r="J3" s="31"/>
      <c r="K3" s="31"/>
      <c r="L3" s="31"/>
      <c r="M3" s="31"/>
    </row>
    <row r="4" spans="1:13" ht="18">
      <c r="A4" s="100"/>
      <c r="B4" s="25"/>
      <c r="C4" s="25"/>
      <c r="D4" s="25"/>
      <c r="E4" s="25"/>
      <c r="F4" s="31"/>
      <c r="G4" s="31"/>
      <c r="H4" s="31"/>
      <c r="I4" s="31"/>
      <c r="J4" s="31"/>
      <c r="K4" s="31"/>
      <c r="L4" s="31"/>
      <c r="M4" s="31"/>
    </row>
    <row r="5" spans="1:13" ht="18">
      <c r="A5" s="100"/>
      <c r="B5" s="25"/>
      <c r="C5" s="25"/>
      <c r="D5" s="25"/>
      <c r="E5" s="25"/>
      <c r="F5" s="31"/>
      <c r="G5" s="31"/>
      <c r="H5" s="31"/>
      <c r="I5" s="31"/>
      <c r="J5" s="31"/>
      <c r="K5" s="31"/>
      <c r="L5" s="31"/>
      <c r="M5" s="31"/>
    </row>
    <row r="6" ht="12.75"/>
    <row r="7" spans="1:2" ht="15.75">
      <c r="A7" s="18" t="s">
        <v>280</v>
      </c>
      <c r="B7" s="18"/>
    </row>
    <row r="8" spans="1:2" ht="15.75">
      <c r="A8" s="18"/>
      <c r="B8" s="18"/>
    </row>
    <row r="9" spans="1:13" ht="15.75">
      <c r="A9" s="18" t="s">
        <v>305</v>
      </c>
      <c r="B9" s="18"/>
      <c r="M9" s="17" t="s">
        <v>52</v>
      </c>
    </row>
    <row r="10" spans="1:13" ht="16.5" thickBot="1">
      <c r="A10" s="18"/>
      <c r="B10" s="18"/>
      <c r="M10" s="17"/>
    </row>
    <row r="11" spans="1:13" s="105" customFormat="1" ht="12.75">
      <c r="A11" s="278" t="s">
        <v>170</v>
      </c>
      <c r="B11" s="279" t="s">
        <v>171</v>
      </c>
      <c r="C11" s="280" t="s">
        <v>172</v>
      </c>
      <c r="D11" s="280"/>
      <c r="E11" s="281" t="s">
        <v>273</v>
      </c>
      <c r="F11" s="281"/>
      <c r="G11" s="281"/>
      <c r="H11" s="281"/>
      <c r="I11" s="279" t="s">
        <v>173</v>
      </c>
      <c r="J11" s="281" t="s">
        <v>272</v>
      </c>
      <c r="K11" s="281"/>
      <c r="L11" s="281"/>
      <c r="M11" s="282"/>
    </row>
    <row r="12" spans="1:13" s="105" customFormat="1" ht="12.75">
      <c r="A12" s="283" t="s">
        <v>174</v>
      </c>
      <c r="B12" s="284" t="s">
        <v>175</v>
      </c>
      <c r="C12" s="285" t="s">
        <v>176</v>
      </c>
      <c r="D12" s="285"/>
      <c r="E12" s="284" t="s">
        <v>125</v>
      </c>
      <c r="F12" s="284" t="s">
        <v>177</v>
      </c>
      <c r="G12" s="284" t="s">
        <v>178</v>
      </c>
      <c r="H12" s="284" t="s">
        <v>179</v>
      </c>
      <c r="I12" s="284" t="s">
        <v>180</v>
      </c>
      <c r="J12" s="284" t="s">
        <v>125</v>
      </c>
      <c r="K12" s="284" t="s">
        <v>177</v>
      </c>
      <c r="L12" s="284" t="s">
        <v>178</v>
      </c>
      <c r="M12" s="286" t="s">
        <v>179</v>
      </c>
    </row>
    <row r="13" spans="1:13" s="105" customFormat="1" ht="13.5" thickBot="1">
      <c r="A13" s="287"/>
      <c r="B13" s="288" t="s">
        <v>181</v>
      </c>
      <c r="C13" s="288" t="s">
        <v>182</v>
      </c>
      <c r="D13" s="288" t="s">
        <v>183</v>
      </c>
      <c r="E13" s="288"/>
      <c r="F13" s="288"/>
      <c r="G13" s="288"/>
      <c r="H13" s="288"/>
      <c r="I13" s="288"/>
      <c r="J13" s="288"/>
      <c r="K13" s="288"/>
      <c r="L13" s="288"/>
      <c r="M13" s="289"/>
    </row>
    <row r="14" spans="1:13" ht="12.7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48"/>
    </row>
    <row r="15" spans="1:13" ht="12.75">
      <c r="A15" s="5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5"/>
    </row>
    <row r="16" spans="1:13" ht="12.75">
      <c r="A16" s="5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5"/>
    </row>
    <row r="17" spans="1:13" ht="12.75">
      <c r="A17" s="5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5"/>
    </row>
    <row r="18" spans="1:13" ht="12.75">
      <c r="A18" s="5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5"/>
    </row>
    <row r="19" spans="1:13" ht="12.75">
      <c r="A19" s="5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5"/>
    </row>
    <row r="20" spans="1:13" ht="12.75">
      <c r="A20" s="5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5"/>
    </row>
    <row r="21" spans="1:13" ht="12.75">
      <c r="A21" s="5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5"/>
    </row>
    <row r="22" spans="1:13" ht="12.75">
      <c r="A22" s="5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5"/>
    </row>
    <row r="23" spans="1:13" ht="12.75">
      <c r="A23" s="5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5"/>
    </row>
    <row r="24" spans="1:13" ht="12.75">
      <c r="A24" s="5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5"/>
    </row>
    <row r="25" spans="1:13" ht="12.75">
      <c r="A25" s="5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5"/>
    </row>
    <row r="26" spans="1:13" ht="12.75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5"/>
    </row>
    <row r="27" spans="1:13" ht="12.75">
      <c r="A27" s="5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5"/>
    </row>
    <row r="28" spans="1:13" ht="12.75">
      <c r="A28" s="5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5"/>
    </row>
    <row r="29" spans="1:13" ht="12.75">
      <c r="A29" s="5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5"/>
    </row>
    <row r="30" spans="1:13" ht="12.75">
      <c r="A30" s="5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5"/>
    </row>
    <row r="31" spans="1:13" ht="12.75">
      <c r="A31" s="5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5"/>
    </row>
    <row r="32" spans="1:13" ht="13.5" thickBo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49"/>
    </row>
    <row r="33" ht="12.75"/>
  </sheetData>
  <sheetProtection/>
  <printOptions horizontalCentered="1" verticalCentered="1"/>
  <pageMargins left="0.4" right="0.75" top="0.25" bottom="1" header="0.54" footer="0.5118110236220472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HACIENDA</dc:creator>
  <cp:keywords/>
  <dc:description/>
  <cp:lastModifiedBy>Hector Osorio Jimenez</cp:lastModifiedBy>
  <cp:lastPrinted>2010-09-08T21:17:45Z</cp:lastPrinted>
  <dcterms:created xsi:type="dcterms:W3CDTF">1997-09-08T19:32:54Z</dcterms:created>
  <dcterms:modified xsi:type="dcterms:W3CDTF">2012-05-03T21:52:26Z</dcterms:modified>
  <cp:category/>
  <cp:version/>
  <cp:contentType/>
  <cp:contentStatus/>
</cp:coreProperties>
</file>