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900" activeTab="3"/>
  </bookViews>
  <sheets>
    <sheet name="REC 20" sheetId="1" r:id="rId1"/>
    <sheet name="REC 21" sheetId="2" r:id="rId2"/>
    <sheet name="CONSOLIDACION" sheetId="3" r:id="rId3"/>
    <sheet name="RESUMEN" sheetId="4" r:id="rId4"/>
  </sheets>
  <definedNames>
    <definedName name="_xlnm.Print_Area" localSheetId="2">'CONSOLIDACION'!$A$5:$M$94</definedName>
    <definedName name="_xlnm.Print_Area" localSheetId="1">'REC 21'!$A$1:$W$78</definedName>
    <definedName name="_xlnm.Print_Area" localSheetId="3">'RESUMEN'!$J$5:$N$88</definedName>
    <definedName name="_xlnm.Print_Titles" localSheetId="2">'CONSOLIDACION'!$1:$6</definedName>
    <definedName name="_xlnm.Print_Titles" localSheetId="0">'REC 20'!$1:$6</definedName>
    <definedName name="_xlnm.Print_Titles" localSheetId="1">'REC 21'!$1:$6</definedName>
    <definedName name="_xlnm.Print_Titles" localSheetId="3">'RESUMEN'!$1:$6</definedName>
  </definedNames>
  <calcPr fullCalcOnLoad="1"/>
</workbook>
</file>

<file path=xl/sharedStrings.xml><?xml version="1.0" encoding="utf-8"?>
<sst xmlns="http://schemas.openxmlformats.org/spreadsheetml/2006/main" count="352" uniqueCount="101">
  <si>
    <t>SUPERINTENDENCIA DE LA ECONOMIA SOLIDARIA 1309</t>
  </si>
  <si>
    <t>INFORME MENSUAL DE LA EJECUCION DEL PRESUPUESTO DE GASTOS - APROPIACIONES DE LA VIGENCIA</t>
  </si>
  <si>
    <t>RECURSO 20</t>
  </si>
  <si>
    <t>Cta</t>
  </si>
  <si>
    <t>Sub       Cta</t>
  </si>
  <si>
    <t>Obj Gto</t>
  </si>
  <si>
    <t>Ord</t>
  </si>
  <si>
    <t>Sub Ord</t>
  </si>
  <si>
    <t>Nombre</t>
  </si>
  <si>
    <t>APROPIACION INICIAL</t>
  </si>
  <si>
    <t>TRASLADOS</t>
  </si>
  <si>
    <t>REDUCCIONES</t>
  </si>
  <si>
    <t>ADICIONES</t>
  </si>
  <si>
    <t>APROPIACION DEFINITIVA</t>
  </si>
  <si>
    <t>CONTRA  CREDITO</t>
  </si>
  <si>
    <t>CREDITO</t>
  </si>
  <si>
    <t>CDPS EXPEDIDOS</t>
  </si>
  <si>
    <t>COMPROMISOS</t>
  </si>
  <si>
    <t>OBLIGACIONES</t>
  </si>
  <si>
    <t>PAGOS</t>
  </si>
  <si>
    <t>GASTOS DE FUNCIONAMIENTO</t>
  </si>
  <si>
    <t>GASTOS DE PERSONAL</t>
  </si>
  <si>
    <t>SERVICIOS PERSONALES ASOCIADOS A NOMINA</t>
  </si>
  <si>
    <t>SUELDOS DE PERSONAL DE NOMINA</t>
  </si>
  <si>
    <t>PRIMA TECNICA</t>
  </si>
  <si>
    <t>OTROS</t>
  </si>
  <si>
    <t>OTROS GASTOS PERSONALES (DISTRIBUCION PREVIO CONCEPTO DGPPN)</t>
  </si>
  <si>
    <t>HORAS EXTRAS, DIAS FESTIVOS E INDEMNIZACION POR VACACIONES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</si>
  <si>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</si>
  <si>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</si>
  <si>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</si>
  <si>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</si>
  <si>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GASTOS GENERALES</t>
  </si>
  <si>
    <t>MPUESTOS Y MULTAS</t>
  </si>
  <si>
    <t>ADQUISICION DE BIENES Y SERVICIOS</t>
  </si>
  <si>
    <t>COMPRA DE EQUIPO</t>
  </si>
  <si>
    <t>ENSERES Y EQUIPOS DE OFICINA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</si>
  <si>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</si>
  <si>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</si>
  <si>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</si>
  <si>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</si>
  <si>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</si>
  <si>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</si>
  <si>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ARRENDAMIENTOS</t>
  </si>
  <si>
    <t>VIÁTICOS Y GASTOS DE VIAJE</t>
  </si>
  <si>
    <t>DEFENSA DE LA HACIENDA PÚBLICA</t>
  </si>
  <si>
    <t>GASTOS IMPREVISTOS</t>
  </si>
  <si>
    <t>OTROS GASTOS POR ADQUISICION DE BIENES</t>
  </si>
  <si>
    <t>OTROS GASTOS POR ADQUISICION DE SERVICIOS</t>
  </si>
  <si>
    <t>HUGO ALBERTO VELASCO RAMON</t>
  </si>
  <si>
    <t>Secretario General</t>
  </si>
  <si>
    <t>Coord. Administrativa y Financiera</t>
  </si>
  <si>
    <t>SUELDOS</t>
  </si>
  <si>
    <t>SUELDOS DE VACACIONES</t>
  </si>
  <si>
    <t>PRIMA TECNICA SALARIAL</t>
  </si>
  <si>
    <t>PRIMA TECNICA NO SALARIAL</t>
  </si>
  <si>
    <t>BONIFICACION POR SERVICIOS PRESTADOS</t>
  </si>
  <si>
    <t>BONIFICACION ESPECIAL DE RECREACION</t>
  </si>
  <si>
    <t>SUBSIDIO DE ALIMENTACION</t>
  </si>
  <si>
    <t>AUXILIO DE TRANSPORTE</t>
  </si>
  <si>
    <t>PRIMA DE SERVICIO</t>
  </si>
  <si>
    <t>PRIMA DE VACACIONES</t>
  </si>
  <si>
    <t>PRIMA DE NAVIDAD</t>
  </si>
  <si>
    <t>PRIMA DE COORDINACION</t>
  </si>
  <si>
    <t>HORAS EXTRAS</t>
  </si>
  <si>
    <t>INDEMNIZACION DE VACACIONES</t>
  </si>
  <si>
    <t>REMUNERACION SERVICIOS TECNICOS</t>
  </si>
  <si>
    <t>APORTES AL ICBF</t>
  </si>
  <si>
    <t>APORTES AL SENA</t>
  </si>
  <si>
    <t>IMPUESTOS Y CONTRIBUCIONES</t>
  </si>
  <si>
    <t>CAPACITACIÓN, BIENESTAR SOCIAL Y EST.</t>
  </si>
  <si>
    <t>RECURSO 21</t>
  </si>
  <si>
    <t>SALDOS</t>
  </si>
  <si>
    <t>CONSOLIDADO</t>
  </si>
  <si>
    <t>SALDO APROPIACION</t>
  </si>
  <si>
    <t>CDPS VS COMPROM.</t>
  </si>
  <si>
    <t>COMPROM. VS OBLIGAC</t>
  </si>
  <si>
    <t>OBLIGAC. VS PAGOS</t>
  </si>
  <si>
    <t>%    EJECUCION</t>
  </si>
  <si>
    <t>TRANSFERENCIAS CORRIENTES</t>
  </si>
  <si>
    <t>TRANSFERENCIAS AL SECTOR PUBLICO</t>
  </si>
  <si>
    <t>ORDEN NACIONAL</t>
  </si>
  <si>
    <t>CUOTA DE AUDITAJE CONTRANAL</t>
  </si>
  <si>
    <t>OTRAS TRANSFERENCIAS</t>
  </si>
  <si>
    <t>SENTENCIAS Y CONCILIACIONES</t>
  </si>
  <si>
    <t>C. INVERSIÓN</t>
  </si>
  <si>
    <t xml:space="preserve"> </t>
  </si>
  <si>
    <t>Adecuación de las gestiones de la Superint. Normas ISO 900O Versión 2000</t>
  </si>
  <si>
    <t>Control y Prevención de Riesgos Jurídicos y Financieros a Organizaciones Solidarias</t>
  </si>
  <si>
    <t>Diseño Manual de Supervisión Sistematizado Nacional</t>
  </si>
  <si>
    <t>IMPUESTOS Y MULTAS</t>
  </si>
  <si>
    <t>Diseño, Instalación y Mant. Centro de Cómputo de la Superintendencia de la Economía Solidaria.</t>
  </si>
  <si>
    <t>Sistematizacion Integral de la Información Institucional en la Superintendencia de la Economía Solidaria Bogotá.</t>
  </si>
  <si>
    <t>Diseño e implantación de un software para el registro y control de las Cooperativas de Trabajo Asociado Nacional</t>
  </si>
  <si>
    <t>YANETH PALACIN PEREZ</t>
  </si>
  <si>
    <t>TOTAL</t>
  </si>
  <si>
    <t>EJECUCION ACUMULADA MES DE DICIEMBRE DE 2009</t>
  </si>
  <si>
    <t>ENRIQUE VALDERRAMA JARAMILLO</t>
  </si>
  <si>
    <t xml:space="preserve">Superintendente </t>
  </si>
  <si>
    <t>Superintendente</t>
  </si>
  <si>
    <t>EJECUCION ACUM DICIEMBRE 2009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</si>
</sst>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0.0%"/>
    <numFmt numFmtId="167" formatCode="0.000%"/>
    <numFmt numFmtId="168" formatCode="0.0000%"/>
    <numFmt numFmtId="169" formatCode="0.00000%"/>
    <numFmt numFmtId="170" formatCode="_(* #,##0_);_(* \(#,##0\);_(* &quot;-&quot;_);_(@_)"/>
    <numFmt numFmtId="171" formatCode="_ * #,##0.0_ ;_ * \-#,##0.0_ ;_ * &quot;-&quot;??_ ;_ @_ "/>
    <numFmt numFmtId="172" formatCode="0.000000"/>
    <numFmt numFmtId="173" formatCode="0.00000"/>
    <numFmt numFmtId="174" formatCode="0.0000"/>
    <numFmt numFmtId="175" formatCode="0.000"/>
    <numFmt numFmtId="176" formatCode="_(* #,##0.00_);_(* \(#,##0.00\);_(* &quot;-&quot;_);_(@_)"/>
    <numFmt numFmtId="177" formatCode="_(* #,##0.0_);_(* \(#,##0.0\);_(* &quot;-&quot;_);_(@_)"/>
    <numFmt numFmtId="178" formatCode="_ * #,##0.000_ ;_ * \-#,##0.000_ ;_ * &quot;-&quot;??_ ;_ @_ "/>
    <numFmt numFmtId="179" formatCode="_ * #,##0.0000_ ;_ * \-#,##0.0000_ ;_ * &quot;-&quot;??_ ;_ @_ "/>
  </numFmts>
  <fonts count="11">
    <font>
      <sz val="10"/>
      <name val="Arial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 style="medium"/>
      <bottom style="medium">
        <color indexed="21"/>
      </bottom>
    </border>
    <border>
      <left style="medium">
        <color indexed="57"/>
      </left>
      <right style="medium">
        <color indexed="57"/>
      </right>
      <top style="medium">
        <color indexed="21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21"/>
      </left>
      <right style="medium">
        <color indexed="57"/>
      </right>
      <top style="medium">
        <color indexed="21"/>
      </top>
      <bottom>
        <color indexed="63"/>
      </bottom>
    </border>
    <border>
      <left style="medium">
        <color indexed="57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7"/>
      </left>
      <right style="medium">
        <color indexed="21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 style="medium">
        <color indexed="57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57"/>
      </left>
      <right style="medium">
        <color indexed="57"/>
      </right>
      <top style="medium">
        <color indexed="57"/>
      </top>
      <bottom style="medium"/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Fill="1" applyAlignment="1">
      <alignment/>
    </xf>
    <xf numFmtId="3" fontId="0" fillId="0" borderId="0" xfId="17" applyNumberFormat="1" applyFont="1" applyFill="1" applyAlignment="1">
      <alignment horizontal="right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164" fontId="0" fillId="0" borderId="0" xfId="17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17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64" fontId="0" fillId="0" borderId="0" xfId="17" applyNumberFormat="1" applyFont="1" applyFill="1" applyAlignment="1">
      <alignment horizontal="right"/>
    </xf>
    <xf numFmtId="164" fontId="0" fillId="0" borderId="0" xfId="17" applyNumberFormat="1" applyFont="1" applyFill="1" applyBorder="1" applyAlignment="1">
      <alignment horizontal="right"/>
    </xf>
    <xf numFmtId="3" fontId="0" fillId="0" borderId="0" xfId="17" applyNumberFormat="1" applyFont="1" applyFill="1" applyAlignment="1">
      <alignment/>
    </xf>
    <xf numFmtId="3" fontId="0" fillId="0" borderId="0" xfId="17" applyNumberFormat="1" applyFont="1" applyFill="1" applyBorder="1" applyAlignment="1">
      <alignment/>
    </xf>
    <xf numFmtId="164" fontId="4" fillId="0" borderId="1" xfId="17" applyNumberFormat="1" applyFont="1" applyFill="1" applyBorder="1" applyAlignment="1">
      <alignment horizontal="center" vertical="center" wrapText="1"/>
    </xf>
    <xf numFmtId="3" fontId="4" fillId="0" borderId="1" xfId="17" applyNumberFormat="1" applyFont="1" applyFill="1" applyBorder="1" applyAlignment="1">
      <alignment horizontal="center" vertical="center" wrapText="1"/>
    </xf>
    <xf numFmtId="3" fontId="6" fillId="0" borderId="2" xfId="17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4" fillId="0" borderId="4" xfId="17" applyNumberFormat="1" applyFont="1" applyFill="1" applyBorder="1" applyAlignment="1">
      <alignment vertical="center" wrapText="1"/>
    </xf>
    <xf numFmtId="3" fontId="0" fillId="0" borderId="3" xfId="17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wrapText="1"/>
    </xf>
    <xf numFmtId="164" fontId="4" fillId="0" borderId="4" xfId="17" applyNumberFormat="1" applyFont="1" applyFill="1" applyBorder="1" applyAlignment="1">
      <alignment horizontal="right" wrapText="1"/>
    </xf>
    <xf numFmtId="3" fontId="4" fillId="0" borderId="4" xfId="17" applyNumberFormat="1" applyFont="1" applyFill="1" applyBorder="1" applyAlignment="1">
      <alignment wrapText="1"/>
    </xf>
    <xf numFmtId="3" fontId="4" fillId="0" borderId="4" xfId="17" applyNumberFormat="1" applyFont="1" applyFill="1" applyBorder="1" applyAlignment="1">
      <alignment/>
    </xf>
    <xf numFmtId="3" fontId="0" fillId="0" borderId="4" xfId="17" applyNumberFormat="1" applyFont="1" applyFill="1" applyBorder="1" applyAlignment="1">
      <alignment/>
    </xf>
    <xf numFmtId="0" fontId="8" fillId="0" borderId="4" xfId="0" applyFont="1" applyFill="1" applyBorder="1" applyAlignment="1">
      <alignment wrapText="1"/>
    </xf>
    <xf numFmtId="3" fontId="0" fillId="0" borderId="4" xfId="17" applyNumberFormat="1" applyFont="1" applyFill="1" applyBorder="1" applyAlignment="1">
      <alignment wrapText="1"/>
    </xf>
    <xf numFmtId="3" fontId="0" fillId="0" borderId="4" xfId="17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3" fontId="4" fillId="0" borderId="4" xfId="17" applyNumberFormat="1" applyFont="1" applyFill="1" applyBorder="1" applyAlignment="1">
      <alignment wrapText="1"/>
    </xf>
    <xf numFmtId="0" fontId="8" fillId="0" borderId="0" xfId="0" applyFont="1" applyBorder="1" applyAlignment="1">
      <alignment/>
    </xf>
    <xf numFmtId="3" fontId="0" fillId="0" borderId="0" xfId="17" applyNumberFormat="1" applyFont="1" applyBorder="1" applyAlignment="1">
      <alignment/>
    </xf>
    <xf numFmtId="3" fontId="0" fillId="0" borderId="5" xfId="17" applyNumberFormat="1" applyFont="1" applyFill="1" applyBorder="1" applyAlignment="1">
      <alignment/>
    </xf>
    <xf numFmtId="3" fontId="0" fillId="0" borderId="6" xfId="17" applyNumberFormat="1" applyFont="1" applyFill="1" applyBorder="1" applyAlignment="1">
      <alignment/>
    </xf>
    <xf numFmtId="164" fontId="0" fillId="0" borderId="0" xfId="17" applyNumberFormat="1" applyFont="1" applyFill="1" applyAlignment="1">
      <alignment horizontal="right"/>
    </xf>
    <xf numFmtId="164" fontId="0" fillId="0" borderId="0" xfId="17" applyNumberFormat="1" applyFont="1" applyFill="1" applyBorder="1" applyAlignment="1">
      <alignment horizontal="right"/>
    </xf>
    <xf numFmtId="3" fontId="0" fillId="0" borderId="0" xfId="17" applyNumberFormat="1" applyFont="1" applyFill="1" applyAlignment="1">
      <alignment/>
    </xf>
    <xf numFmtId="3" fontId="0" fillId="0" borderId="0" xfId="17" applyNumberFormat="1" applyFont="1" applyFill="1" applyBorder="1" applyAlignment="1">
      <alignment/>
    </xf>
    <xf numFmtId="3" fontId="0" fillId="0" borderId="0" xfId="17" applyNumberFormat="1" applyFont="1" applyBorder="1" applyAlignment="1">
      <alignment/>
    </xf>
    <xf numFmtId="43" fontId="0" fillId="0" borderId="0" xfId="17" applyFill="1" applyAlignment="1">
      <alignment/>
    </xf>
    <xf numFmtId="43" fontId="0" fillId="0" borderId="0" xfId="17" applyFont="1" applyFill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4" fontId="0" fillId="0" borderId="0" xfId="17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164" fontId="4" fillId="0" borderId="4" xfId="17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4" xfId="17" applyNumberFormat="1" applyFont="1" applyFill="1" applyBorder="1" applyAlignment="1">
      <alignment horizontal="right" wrapText="1"/>
    </xf>
    <xf numFmtId="164" fontId="6" fillId="0" borderId="4" xfId="17" applyNumberFormat="1" applyFont="1" applyFill="1" applyBorder="1" applyAlignment="1">
      <alignment horizontal="right" wrapText="1"/>
    </xf>
    <xf numFmtId="3" fontId="6" fillId="0" borderId="4" xfId="17" applyNumberFormat="1" applyFont="1" applyFill="1" applyBorder="1" applyAlignment="1">
      <alignment wrapText="1"/>
    </xf>
    <xf numFmtId="3" fontId="6" fillId="0" borderId="0" xfId="0" applyNumberFormat="1" applyFont="1" applyFill="1" applyAlignment="1">
      <alignment horizontal="right"/>
    </xf>
    <xf numFmtId="3" fontId="6" fillId="0" borderId="4" xfId="17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4" fillId="0" borderId="4" xfId="17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164" fontId="4" fillId="0" borderId="3" xfId="17" applyNumberFormat="1" applyFont="1" applyFill="1" applyBorder="1" applyAlignment="1">
      <alignment horizontal="right" wrapText="1"/>
    </xf>
    <xf numFmtId="3" fontId="4" fillId="0" borderId="3" xfId="17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7" xfId="17" applyNumberFormat="1" applyFont="1" applyFill="1" applyBorder="1" applyAlignment="1">
      <alignment wrapText="1"/>
    </xf>
    <xf numFmtId="3" fontId="0" fillId="0" borderId="0" xfId="17" applyNumberFormat="1" applyFont="1" applyFill="1" applyBorder="1" applyAlignment="1">
      <alignment wrapText="1"/>
    </xf>
    <xf numFmtId="43" fontId="0" fillId="0" borderId="0" xfId="17" applyFont="1" applyFill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4" fontId="0" fillId="0" borderId="0" xfId="17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>
      <alignment/>
    </xf>
    <xf numFmtId="164" fontId="0" fillId="0" borderId="5" xfId="17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17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6" xfId="0" applyFill="1" applyBorder="1" applyAlignment="1">
      <alignment/>
    </xf>
    <xf numFmtId="0" fontId="8" fillId="0" borderId="6" xfId="0" applyFont="1" applyFill="1" applyBorder="1" applyAlignment="1">
      <alignment/>
    </xf>
    <xf numFmtId="164" fontId="0" fillId="0" borderId="6" xfId="17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4" fontId="0" fillId="0" borderId="0" xfId="17" applyNumberFormat="1" applyFont="1" applyFill="1" applyBorder="1" applyAlignment="1">
      <alignment wrapText="1"/>
    </xf>
    <xf numFmtId="43" fontId="4" fillId="0" borderId="0" xfId="17" applyFont="1" applyFill="1" applyBorder="1" applyAlignment="1">
      <alignment horizontal="right" vertical="center"/>
    </xf>
    <xf numFmtId="43" fontId="4" fillId="0" borderId="3" xfId="17" applyFont="1" applyFill="1" applyBorder="1" applyAlignment="1">
      <alignment horizontal="right" wrapText="1"/>
    </xf>
    <xf numFmtId="43" fontId="0" fillId="0" borderId="0" xfId="17" applyFont="1" applyFill="1" applyBorder="1" applyAlignment="1">
      <alignment horizontal="right"/>
    </xf>
    <xf numFmtId="43" fontId="0" fillId="0" borderId="5" xfId="17" applyFont="1" applyFill="1" applyBorder="1" applyAlignment="1">
      <alignment horizontal="right"/>
    </xf>
    <xf numFmtId="43" fontId="0" fillId="0" borderId="6" xfId="17" applyFont="1" applyFill="1" applyBorder="1" applyAlignment="1">
      <alignment horizontal="right"/>
    </xf>
    <xf numFmtId="43" fontId="0" fillId="0" borderId="0" xfId="17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0" borderId="4" xfId="0" applyFont="1" applyFill="1" applyBorder="1" applyAlignment="1">
      <alignment/>
    </xf>
    <xf numFmtId="164" fontId="6" fillId="0" borderId="4" xfId="17" applyNumberFormat="1" applyFont="1" applyFill="1" applyBorder="1" applyAlignment="1">
      <alignment horizontal="right" vertical="center" wrapText="1"/>
    </xf>
    <xf numFmtId="164" fontId="6" fillId="0" borderId="4" xfId="17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/>
    </xf>
    <xf numFmtId="164" fontId="8" fillId="0" borderId="4" xfId="17" applyNumberFormat="1" applyFont="1" applyFill="1" applyBorder="1" applyAlignment="1">
      <alignment horizontal="right" wrapText="1"/>
    </xf>
    <xf numFmtId="3" fontId="8" fillId="0" borderId="4" xfId="17" applyNumberFormat="1" applyFont="1" applyFill="1" applyBorder="1" applyAlignment="1">
      <alignment/>
    </xf>
    <xf numFmtId="3" fontId="6" fillId="0" borderId="4" xfId="17" applyNumberFormat="1" applyFont="1" applyFill="1" applyBorder="1" applyAlignment="1">
      <alignment wrapText="1"/>
    </xf>
    <xf numFmtId="3" fontId="6" fillId="0" borderId="4" xfId="17" applyNumberFormat="1" applyFont="1" applyFill="1" applyBorder="1" applyAlignment="1">
      <alignment vertical="center" wrapText="1"/>
    </xf>
    <xf numFmtId="43" fontId="6" fillId="0" borderId="4" xfId="17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right"/>
    </xf>
    <xf numFmtId="3" fontId="6" fillId="0" borderId="4" xfId="17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43" fontId="8" fillId="0" borderId="4" xfId="17" applyFont="1" applyFill="1" applyBorder="1" applyAlignment="1">
      <alignment horizontal="right"/>
    </xf>
    <xf numFmtId="3" fontId="8" fillId="0" borderId="4" xfId="17" applyNumberFormat="1" applyFont="1" applyFill="1" applyBorder="1" applyAlignment="1">
      <alignment wrapText="1"/>
    </xf>
    <xf numFmtId="43" fontId="6" fillId="0" borderId="4" xfId="17" applyFont="1" applyFill="1" applyBorder="1" applyAlignment="1">
      <alignment horizontal="right"/>
    </xf>
    <xf numFmtId="3" fontId="6" fillId="0" borderId="4" xfId="17" applyNumberFormat="1" applyFont="1" applyFill="1" applyBorder="1" applyAlignment="1">
      <alignment horizontal="right" wrapText="1"/>
    </xf>
    <xf numFmtId="43" fontId="8" fillId="0" borderId="4" xfId="17" applyFont="1" applyFill="1" applyBorder="1" applyAlignment="1">
      <alignment horizontal="right" wrapText="1"/>
    </xf>
    <xf numFmtId="0" fontId="8" fillId="0" borderId="4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64" fontId="6" fillId="0" borderId="4" xfId="17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1" fontId="8" fillId="0" borderId="4" xfId="17" applyNumberFormat="1" applyFont="1" applyFill="1" applyBorder="1" applyAlignment="1">
      <alignment horizontal="right" wrapText="1"/>
    </xf>
    <xf numFmtId="164" fontId="8" fillId="0" borderId="4" xfId="17" applyNumberFormat="1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3" fontId="0" fillId="0" borderId="9" xfId="17" applyNumberFormat="1" applyFont="1" applyFill="1" applyBorder="1" applyAlignment="1">
      <alignment wrapText="1"/>
    </xf>
    <xf numFmtId="164" fontId="4" fillId="0" borderId="0" xfId="17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3" fontId="4" fillId="0" borderId="15" xfId="17" applyNumberFormat="1" applyFont="1" applyFill="1" applyBorder="1" applyAlignment="1">
      <alignment/>
    </xf>
    <xf numFmtId="164" fontId="6" fillId="0" borderId="12" xfId="17" applyNumberFormat="1" applyFont="1" applyFill="1" applyBorder="1" applyAlignment="1">
      <alignment horizontal="right" wrapText="1"/>
    </xf>
    <xf numFmtId="3" fontId="4" fillId="0" borderId="16" xfId="17" applyNumberFormat="1" applyFont="1" applyFill="1" applyBorder="1" applyAlignment="1">
      <alignment horizontal="center" vertical="center" wrapText="1"/>
    </xf>
    <xf numFmtId="3" fontId="8" fillId="0" borderId="12" xfId="17" applyNumberFormat="1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3" fontId="4" fillId="0" borderId="17" xfId="17" applyNumberFormat="1" applyFont="1" applyFill="1" applyBorder="1" applyAlignment="1">
      <alignment wrapText="1"/>
    </xf>
    <xf numFmtId="3" fontId="0" fillId="0" borderId="18" xfId="17" applyNumberFormat="1" applyFont="1" applyFill="1" applyBorder="1" applyAlignment="1">
      <alignment/>
    </xf>
    <xf numFmtId="3" fontId="6" fillId="0" borderId="19" xfId="17" applyNumberFormat="1" applyFont="1" applyFill="1" applyBorder="1" applyAlignment="1">
      <alignment wrapText="1"/>
    </xf>
    <xf numFmtId="3" fontId="6" fillId="0" borderId="20" xfId="17" applyNumberFormat="1" applyFont="1" applyFill="1" applyBorder="1" applyAlignment="1">
      <alignment wrapText="1"/>
    </xf>
    <xf numFmtId="3" fontId="8" fillId="0" borderId="19" xfId="17" applyNumberFormat="1" applyFont="1" applyFill="1" applyBorder="1" applyAlignment="1">
      <alignment/>
    </xf>
    <xf numFmtId="3" fontId="8" fillId="0" borderId="20" xfId="17" applyNumberFormat="1" applyFont="1" applyFill="1" applyBorder="1" applyAlignment="1">
      <alignment/>
    </xf>
    <xf numFmtId="3" fontId="8" fillId="0" borderId="19" xfId="17" applyNumberFormat="1" applyFont="1" applyFill="1" applyBorder="1" applyAlignment="1">
      <alignment wrapText="1"/>
    </xf>
    <xf numFmtId="164" fontId="8" fillId="0" borderId="20" xfId="17" applyNumberFormat="1" applyFont="1" applyFill="1" applyBorder="1" applyAlignment="1">
      <alignment horizontal="right" wrapText="1"/>
    </xf>
    <xf numFmtId="164" fontId="8" fillId="0" borderId="19" xfId="17" applyNumberFormat="1" applyFont="1" applyFill="1" applyBorder="1" applyAlignment="1">
      <alignment horizontal="right" wrapText="1"/>
    </xf>
    <xf numFmtId="3" fontId="8" fillId="0" borderId="20" xfId="17" applyNumberFormat="1" applyFont="1" applyFill="1" applyBorder="1" applyAlignment="1">
      <alignment wrapText="1"/>
    </xf>
    <xf numFmtId="3" fontId="8" fillId="0" borderId="20" xfId="17" applyNumberFormat="1" applyFont="1" applyFill="1" applyBorder="1" applyAlignment="1">
      <alignment horizontal="right" wrapText="1"/>
    </xf>
    <xf numFmtId="3" fontId="6" fillId="0" borderId="20" xfId="17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164" fontId="0" fillId="0" borderId="21" xfId="17" applyNumberFormat="1" applyFont="1" applyFill="1" applyBorder="1" applyAlignment="1">
      <alignment/>
    </xf>
    <xf numFmtId="3" fontId="0" fillId="0" borderId="21" xfId="17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8" fillId="0" borderId="4" xfId="17" applyNumberFormat="1" applyFont="1" applyFill="1" applyBorder="1" applyAlignment="1">
      <alignment horizontal="right" wrapText="1"/>
    </xf>
    <xf numFmtId="1" fontId="8" fillId="0" borderId="4" xfId="17" applyNumberFormat="1" applyFont="1" applyFill="1" applyBorder="1" applyAlignment="1">
      <alignment horizontal="right" wrapText="1"/>
    </xf>
    <xf numFmtId="164" fontId="8" fillId="0" borderId="4" xfId="17" applyNumberFormat="1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Fill="1" applyAlignment="1">
      <alignment/>
    </xf>
    <xf numFmtId="3" fontId="8" fillId="0" borderId="0" xfId="17" applyNumberFormat="1" applyFont="1" applyFill="1" applyAlignment="1">
      <alignment horizontal="right"/>
    </xf>
    <xf numFmtId="164" fontId="8" fillId="0" borderId="0" xfId="17" applyNumberFormat="1" applyFont="1" applyFill="1" applyBorder="1" applyAlignment="1">
      <alignment horizontal="right"/>
    </xf>
    <xf numFmtId="3" fontId="8" fillId="0" borderId="0" xfId="17" applyNumberFormat="1" applyFont="1" applyFill="1" applyAlignment="1">
      <alignment/>
    </xf>
    <xf numFmtId="3" fontId="6" fillId="0" borderId="0" xfId="17" applyNumberFormat="1" applyFont="1" applyFill="1" applyBorder="1" applyAlignment="1">
      <alignment vertical="center"/>
    </xf>
    <xf numFmtId="3" fontId="8" fillId="0" borderId="0" xfId="17" applyNumberFormat="1" applyFont="1" applyFill="1" applyBorder="1" applyAlignment="1">
      <alignment/>
    </xf>
    <xf numFmtId="10" fontId="8" fillId="0" borderId="0" xfId="21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164" fontId="6" fillId="0" borderId="1" xfId="17" applyNumberFormat="1" applyFont="1" applyFill="1" applyBorder="1" applyAlignment="1">
      <alignment horizontal="center" vertical="center" wrapText="1"/>
    </xf>
    <xf numFmtId="3" fontId="6" fillId="0" borderId="1" xfId="17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6" fillId="0" borderId="22" xfId="17" applyNumberFormat="1" applyFont="1" applyFill="1" applyBorder="1" applyAlignment="1">
      <alignment horizontal="center" vertical="justify" wrapText="1"/>
    </xf>
    <xf numFmtId="3" fontId="6" fillId="0" borderId="22" xfId="17" applyNumberFormat="1" applyFont="1" applyFill="1" applyBorder="1" applyAlignment="1">
      <alignment horizontal="center" vertical="center" wrapText="1"/>
    </xf>
    <xf numFmtId="3" fontId="6" fillId="0" borderId="3" xfId="17" applyNumberFormat="1" applyFont="1" applyFill="1" applyBorder="1" applyAlignment="1">
      <alignment horizontal="right" vertical="center" wrapText="1"/>
    </xf>
    <xf numFmtId="164" fontId="6" fillId="0" borderId="4" xfId="17" applyNumberFormat="1" applyFont="1" applyFill="1" applyBorder="1" applyAlignment="1">
      <alignment horizontal="right" vertical="center" wrapText="1"/>
    </xf>
    <xf numFmtId="3" fontId="6" fillId="0" borderId="3" xfId="17" applyNumberFormat="1" applyFont="1" applyFill="1" applyBorder="1" applyAlignment="1">
      <alignment vertical="center" wrapText="1"/>
    </xf>
    <xf numFmtId="3" fontId="8" fillId="0" borderId="3" xfId="17" applyNumberFormat="1" applyFont="1" applyFill="1" applyBorder="1" applyAlignment="1">
      <alignment/>
    </xf>
    <xf numFmtId="3" fontId="6" fillId="0" borderId="4" xfId="17" applyNumberFormat="1" applyFont="1" applyFill="1" applyBorder="1" applyAlignment="1">
      <alignment horizontal="right" vertical="center" wrapText="1"/>
    </xf>
    <xf numFmtId="3" fontId="6" fillId="0" borderId="4" xfId="17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8" fillId="0" borderId="4" xfId="17" applyNumberFormat="1" applyFont="1" applyFill="1" applyBorder="1" applyAlignment="1">
      <alignment/>
    </xf>
    <xf numFmtId="3" fontId="8" fillId="0" borderId="4" xfId="17" applyNumberFormat="1" applyFont="1" applyFill="1" applyBorder="1" applyAlignment="1">
      <alignment horizontal="right" wrapText="1"/>
    </xf>
    <xf numFmtId="3" fontId="8" fillId="0" borderId="4" xfId="17" applyNumberFormat="1" applyFont="1" applyFill="1" applyBorder="1" applyAlignment="1">
      <alignment vertical="center" wrapText="1"/>
    </xf>
    <xf numFmtId="3" fontId="8" fillId="0" borderId="4" xfId="17" applyNumberFormat="1" applyFont="1" applyFill="1" applyBorder="1" applyAlignment="1">
      <alignment wrapText="1"/>
    </xf>
    <xf numFmtId="0" fontId="8" fillId="0" borderId="4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164" fontId="8" fillId="0" borderId="0" xfId="17" applyNumberFormat="1" applyFont="1" applyFill="1" applyBorder="1" applyAlignment="1">
      <alignment horizontal="right" wrapText="1"/>
    </xf>
    <xf numFmtId="3" fontId="8" fillId="0" borderId="0" xfId="17" applyNumberFormat="1" applyFont="1" applyBorder="1" applyAlignment="1">
      <alignment/>
    </xf>
    <xf numFmtId="164" fontId="8" fillId="0" borderId="0" xfId="17" applyNumberFormat="1" applyFont="1" applyBorder="1" applyAlignment="1">
      <alignment/>
    </xf>
    <xf numFmtId="3" fontId="8" fillId="0" borderId="0" xfId="17" applyNumberFormat="1" applyFont="1" applyBorder="1" applyAlignment="1">
      <alignment/>
    </xf>
    <xf numFmtId="0" fontId="8" fillId="0" borderId="11" xfId="0" applyFont="1" applyBorder="1" applyAlignment="1">
      <alignment/>
    </xf>
    <xf numFmtId="3" fontId="8" fillId="0" borderId="5" xfId="17" applyNumberFormat="1" applyFont="1" applyBorder="1" applyAlignment="1">
      <alignment/>
    </xf>
    <xf numFmtId="164" fontId="8" fillId="0" borderId="5" xfId="17" applyNumberFormat="1" applyFont="1" applyBorder="1" applyAlignment="1">
      <alignment/>
    </xf>
    <xf numFmtId="3" fontId="8" fillId="0" borderId="5" xfId="17" applyNumberFormat="1" applyFont="1" applyFill="1" applyBorder="1" applyAlignment="1">
      <alignment/>
    </xf>
    <xf numFmtId="3" fontId="8" fillId="0" borderId="5" xfId="17" applyNumberFormat="1" applyFont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9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17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6" xfId="17" applyNumberFormat="1" applyFont="1" applyBorder="1" applyAlignment="1">
      <alignment/>
    </xf>
    <xf numFmtId="164" fontId="8" fillId="0" borderId="6" xfId="17" applyNumberFormat="1" applyFont="1" applyBorder="1" applyAlignment="1">
      <alignment/>
    </xf>
    <xf numFmtId="3" fontId="8" fillId="0" borderId="6" xfId="17" applyNumberFormat="1" applyFont="1" applyFill="1" applyBorder="1" applyAlignment="1">
      <alignment/>
    </xf>
    <xf numFmtId="3" fontId="8" fillId="0" borderId="6" xfId="17" applyNumberFormat="1" applyFont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64" fontId="8" fillId="0" borderId="12" xfId="17" applyNumberFormat="1" applyFont="1" applyFill="1" applyBorder="1" applyAlignment="1">
      <alignment horizontal="right" wrapText="1"/>
    </xf>
    <xf numFmtId="3" fontId="8" fillId="0" borderId="4" xfId="0" applyNumberFormat="1" applyFont="1" applyFill="1" applyBorder="1" applyAlignment="1">
      <alignment horizontal="right"/>
    </xf>
    <xf numFmtId="3" fontId="8" fillId="0" borderId="7" xfId="17" applyNumberFormat="1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0" fontId="8" fillId="0" borderId="21" xfId="0" applyFont="1" applyBorder="1" applyAlignment="1">
      <alignment/>
    </xf>
    <xf numFmtId="164" fontId="8" fillId="0" borderId="21" xfId="17" applyNumberFormat="1" applyFont="1" applyBorder="1" applyAlignment="1">
      <alignment/>
    </xf>
    <xf numFmtId="3" fontId="8" fillId="0" borderId="21" xfId="17" applyNumberFormat="1" applyFont="1" applyFill="1" applyBorder="1" applyAlignment="1">
      <alignment/>
    </xf>
    <xf numFmtId="3" fontId="8" fillId="0" borderId="21" xfId="17" applyNumberFormat="1" applyFont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 horizontal="right" wrapText="1"/>
    </xf>
    <xf numFmtId="164" fontId="4" fillId="0" borderId="23" xfId="17" applyNumberFormat="1" applyFont="1" applyFill="1" applyBorder="1" applyAlignment="1">
      <alignment horizontal="center" vertical="center" wrapText="1"/>
    </xf>
    <xf numFmtId="164" fontId="4" fillId="0" borderId="12" xfId="17" applyNumberFormat="1" applyFont="1" applyFill="1" applyBorder="1" applyAlignment="1">
      <alignment horizontal="right" vertical="center" wrapText="1"/>
    </xf>
    <xf numFmtId="164" fontId="4" fillId="0" borderId="12" xfId="17" applyNumberFormat="1" applyFont="1" applyFill="1" applyBorder="1" applyAlignment="1">
      <alignment wrapText="1"/>
    </xf>
    <xf numFmtId="164" fontId="0" fillId="0" borderId="12" xfId="17" applyNumberFormat="1" applyFont="1" applyFill="1" applyBorder="1" applyAlignment="1">
      <alignment wrapText="1"/>
    </xf>
    <xf numFmtId="164" fontId="4" fillId="0" borderId="12" xfId="17" applyNumberFormat="1" applyFont="1" applyFill="1" applyBorder="1" applyAlignment="1">
      <alignment wrapText="1"/>
    </xf>
    <xf numFmtId="164" fontId="0" fillId="0" borderId="12" xfId="17" applyNumberFormat="1" applyFont="1" applyFill="1" applyBorder="1" applyAlignment="1">
      <alignment wrapText="1"/>
    </xf>
    <xf numFmtId="164" fontId="6" fillId="0" borderId="12" xfId="17" applyNumberFormat="1" applyFont="1" applyFill="1" applyBorder="1" applyAlignment="1">
      <alignment wrapText="1"/>
    </xf>
    <xf numFmtId="3" fontId="4" fillId="0" borderId="9" xfId="17" applyNumberFormat="1" applyFont="1" applyFill="1" applyBorder="1" applyAlignment="1">
      <alignment wrapText="1"/>
    </xf>
    <xf numFmtId="3" fontId="4" fillId="0" borderId="9" xfId="17" applyNumberFormat="1" applyFont="1" applyFill="1" applyBorder="1" applyAlignment="1">
      <alignment wrapText="1"/>
    </xf>
    <xf numFmtId="3" fontId="4" fillId="0" borderId="4" xfId="17" applyNumberFormat="1" applyFont="1" applyFill="1" applyBorder="1" applyAlignment="1">
      <alignment horizontal="center" vertical="center" wrapText="1"/>
    </xf>
    <xf numFmtId="3" fontId="4" fillId="0" borderId="0" xfId="17" applyNumberFormat="1" applyFont="1" applyFill="1" applyBorder="1" applyAlignment="1">
      <alignment wrapText="1"/>
    </xf>
    <xf numFmtId="10" fontId="8" fillId="0" borderId="0" xfId="21" applyNumberFormat="1" applyFont="1" applyFill="1" applyAlignment="1">
      <alignment/>
    </xf>
    <xf numFmtId="10" fontId="8" fillId="0" borderId="0" xfId="21" applyNumberFormat="1" applyFont="1" applyFill="1" applyAlignment="1">
      <alignment horizontal="right"/>
    </xf>
    <xf numFmtId="3" fontId="6" fillId="0" borderId="3" xfId="17" applyNumberFormat="1" applyFont="1" applyFill="1" applyBorder="1" applyAlignment="1">
      <alignment vertical="center" wrapText="1"/>
    </xf>
    <xf numFmtId="10" fontId="6" fillId="0" borderId="4" xfId="21" applyNumberFormat="1" applyFont="1" applyFill="1" applyBorder="1" applyAlignment="1">
      <alignment vertical="center" wrapText="1"/>
    </xf>
    <xf numFmtId="2" fontId="6" fillId="0" borderId="4" xfId="21" applyNumberFormat="1" applyFont="1" applyFill="1" applyBorder="1" applyAlignment="1">
      <alignment wrapText="1"/>
    </xf>
    <xf numFmtId="2" fontId="8" fillId="0" borderId="4" xfId="21" applyNumberFormat="1" applyFont="1" applyFill="1" applyBorder="1" applyAlignment="1">
      <alignment wrapText="1"/>
    </xf>
    <xf numFmtId="3" fontId="8" fillId="0" borderId="0" xfId="17" applyNumberFormat="1" applyFont="1" applyFill="1" applyBorder="1" applyAlignment="1">
      <alignment wrapText="1"/>
    </xf>
    <xf numFmtId="10" fontId="8" fillId="0" borderId="0" xfId="21" applyNumberFormat="1" applyFont="1" applyFill="1" applyBorder="1" applyAlignment="1">
      <alignment wrapText="1"/>
    </xf>
    <xf numFmtId="3" fontId="6" fillId="0" borderId="0" xfId="17" applyNumberFormat="1" applyFont="1" applyFill="1" applyBorder="1" applyAlignment="1">
      <alignment horizontal="right" wrapText="1"/>
    </xf>
    <xf numFmtId="10" fontId="6" fillId="0" borderId="0" xfId="21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65" fontId="6" fillId="0" borderId="4" xfId="17" applyNumberFormat="1" applyFont="1" applyFill="1" applyBorder="1" applyAlignment="1">
      <alignment wrapText="1"/>
    </xf>
    <xf numFmtId="3" fontId="8" fillId="0" borderId="0" xfId="17" applyNumberFormat="1" applyFont="1" applyBorder="1" applyAlignment="1">
      <alignment/>
    </xf>
    <xf numFmtId="3" fontId="8" fillId="0" borderId="0" xfId="17" applyNumberFormat="1" applyFont="1" applyFill="1" applyAlignment="1">
      <alignment/>
    </xf>
    <xf numFmtId="43" fontId="8" fillId="0" borderId="0" xfId="17" applyFont="1" applyFill="1" applyAlignment="1">
      <alignment/>
    </xf>
    <xf numFmtId="43" fontId="6" fillId="0" borderId="0" xfId="17" applyFont="1" applyFill="1" applyBorder="1" applyAlignment="1">
      <alignment vertic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6" fillId="0" borderId="3" xfId="17" applyNumberFormat="1" applyFont="1" applyFill="1" applyBorder="1" applyAlignment="1">
      <alignment horizontal="right" vertical="center" wrapText="1"/>
    </xf>
    <xf numFmtId="3" fontId="8" fillId="0" borderId="3" xfId="17" applyNumberFormat="1" applyFont="1" applyFill="1" applyBorder="1" applyAlignment="1">
      <alignment/>
    </xf>
    <xf numFmtId="3" fontId="6" fillId="0" borderId="3" xfId="17" applyNumberFormat="1" applyFont="1" applyFill="1" applyBorder="1" applyAlignment="1">
      <alignment wrapText="1"/>
    </xf>
    <xf numFmtId="3" fontId="6" fillId="0" borderId="4" xfId="17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3" fontId="8" fillId="0" borderId="4" xfId="17" applyNumberFormat="1" applyFont="1" applyFill="1" applyBorder="1" applyAlignment="1">
      <alignment horizontal="right" wrapText="1"/>
    </xf>
    <xf numFmtId="3" fontId="8" fillId="0" borderId="12" xfId="17" applyNumberFormat="1" applyFont="1" applyFill="1" applyBorder="1" applyAlignment="1">
      <alignment wrapText="1"/>
    </xf>
    <xf numFmtId="3" fontId="8" fillId="0" borderId="9" xfId="17" applyNumberFormat="1" applyFont="1" applyFill="1" applyBorder="1" applyAlignment="1">
      <alignment wrapText="1"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3" fontId="8" fillId="0" borderId="7" xfId="17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64" fontId="8" fillId="0" borderId="5" xfId="17" applyNumberFormat="1" applyFont="1" applyFill="1" applyBorder="1" applyAlignment="1">
      <alignment/>
    </xf>
    <xf numFmtId="43" fontId="8" fillId="0" borderId="5" xfId="17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64" fontId="8" fillId="0" borderId="0" xfId="17" applyNumberFormat="1" applyFont="1" applyFill="1" applyBorder="1" applyAlignment="1">
      <alignment/>
    </xf>
    <xf numFmtId="43" fontId="8" fillId="0" borderId="0" xfId="17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17" applyNumberFormat="1" applyFont="1" applyFill="1" applyBorder="1" applyAlignment="1">
      <alignment/>
    </xf>
    <xf numFmtId="3" fontId="8" fillId="0" borderId="0" xfId="17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164" fontId="8" fillId="0" borderId="6" xfId="17" applyNumberFormat="1" applyFont="1" applyFill="1" applyBorder="1" applyAlignment="1">
      <alignment/>
    </xf>
    <xf numFmtId="43" fontId="8" fillId="0" borderId="6" xfId="17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8" fillId="0" borderId="0" xfId="17" applyNumberFormat="1" applyFont="1" applyFill="1" applyAlignment="1">
      <alignment horizontal="right"/>
    </xf>
    <xf numFmtId="164" fontId="8" fillId="0" borderId="0" xfId="17" applyNumberFormat="1" applyFont="1" applyFill="1" applyBorder="1" applyAlignment="1">
      <alignment horizontal="right"/>
    </xf>
    <xf numFmtId="43" fontId="8" fillId="0" borderId="0" xfId="17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8" fillId="0" borderId="0" xfId="17" applyNumberFormat="1" applyFont="1" applyFill="1" applyBorder="1" applyAlignment="1">
      <alignment horizontal="right" wrapText="1"/>
    </xf>
    <xf numFmtId="43" fontId="6" fillId="0" borderId="0" xfId="17" applyFont="1" applyFill="1" applyBorder="1" applyAlignment="1">
      <alignment horizontal="right" wrapText="1"/>
    </xf>
    <xf numFmtId="3" fontId="6" fillId="0" borderId="0" xfId="17" applyNumberFormat="1" applyFont="1" applyFill="1" applyBorder="1" applyAlignment="1">
      <alignment wrapText="1"/>
    </xf>
    <xf numFmtId="3" fontId="8" fillId="0" borderId="0" xfId="17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3" fontId="0" fillId="0" borderId="4" xfId="17" applyNumberFormat="1" applyFont="1" applyFill="1" applyBorder="1" applyAlignment="1">
      <alignment/>
    </xf>
    <xf numFmtId="3" fontId="4" fillId="0" borderId="1" xfId="17" applyNumberFormat="1" applyFont="1" applyFill="1" applyBorder="1" applyAlignment="1">
      <alignment wrapText="1"/>
    </xf>
    <xf numFmtId="164" fontId="4" fillId="0" borderId="24" xfId="17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21" applyNumberFormat="1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3" fontId="8" fillId="0" borderId="7" xfId="17" applyNumberFormat="1" applyFont="1" applyFill="1" applyBorder="1" applyAlignment="1">
      <alignment horizontal="right" wrapText="1"/>
    </xf>
    <xf numFmtId="164" fontId="8" fillId="0" borderId="7" xfId="17" applyNumberFormat="1" applyFont="1" applyFill="1" applyBorder="1" applyAlignment="1">
      <alignment horizontal="right" wrapText="1"/>
    </xf>
    <xf numFmtId="3" fontId="8" fillId="0" borderId="7" xfId="17" applyNumberFormat="1" applyFont="1" applyFill="1" applyBorder="1" applyAlignment="1">
      <alignment wrapText="1"/>
    </xf>
    <xf numFmtId="43" fontId="8" fillId="0" borderId="7" xfId="17" applyFont="1" applyFill="1" applyBorder="1" applyAlignment="1">
      <alignment horizontal="right"/>
    </xf>
    <xf numFmtId="3" fontId="8" fillId="0" borderId="25" xfId="17" applyNumberFormat="1" applyFont="1" applyFill="1" applyBorder="1" applyAlignment="1">
      <alignment wrapText="1"/>
    </xf>
    <xf numFmtId="3" fontId="8" fillId="0" borderId="26" xfId="17" applyNumberFormat="1" applyFont="1" applyFill="1" applyBorder="1" applyAlignment="1">
      <alignment wrapText="1"/>
    </xf>
    <xf numFmtId="3" fontId="6" fillId="0" borderId="21" xfId="17" applyNumberFormat="1" applyFont="1" applyFill="1" applyBorder="1" applyAlignment="1">
      <alignment horizontal="right" wrapText="1"/>
    </xf>
    <xf numFmtId="0" fontId="6" fillId="0" borderId="21" xfId="0" applyFont="1" applyFill="1" applyBorder="1" applyAlignment="1">
      <alignment/>
    </xf>
    <xf numFmtId="164" fontId="4" fillId="0" borderId="21" xfId="17" applyNumberFormat="1" applyFont="1" applyFill="1" applyBorder="1" applyAlignment="1">
      <alignment/>
    </xf>
    <xf numFmtId="0" fontId="6" fillId="0" borderId="21" xfId="0" applyFont="1" applyBorder="1" applyAlignment="1">
      <alignment/>
    </xf>
    <xf numFmtId="3" fontId="6" fillId="0" borderId="21" xfId="17" applyNumberFormat="1" applyFont="1" applyBorder="1" applyAlignment="1">
      <alignment/>
    </xf>
    <xf numFmtId="41" fontId="8" fillId="0" borderId="4" xfId="17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64" fontId="8" fillId="0" borderId="4" xfId="17" applyNumberFormat="1" applyFont="1" applyFill="1" applyBorder="1" applyAlignment="1">
      <alignment horizontal="right"/>
    </xf>
    <xf numFmtId="164" fontId="7" fillId="0" borderId="22" xfId="17" applyNumberFormat="1" applyFont="1" applyFill="1" applyBorder="1" applyAlignment="1">
      <alignment horizontal="center" vertical="center" wrapText="1"/>
    </xf>
    <xf numFmtId="164" fontId="8" fillId="0" borderId="7" xfId="17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wrapText="1"/>
    </xf>
    <xf numFmtId="164" fontId="0" fillId="0" borderId="5" xfId="17" applyNumberFormat="1" applyFont="1" applyFill="1" applyBorder="1" applyAlignment="1">
      <alignment horizontal="right"/>
    </xf>
    <xf numFmtId="164" fontId="0" fillId="0" borderId="6" xfId="17" applyNumberFormat="1" applyFont="1" applyFill="1" applyBorder="1" applyAlignment="1">
      <alignment horizontal="right"/>
    </xf>
    <xf numFmtId="164" fontId="8" fillId="0" borderId="4" xfId="17" applyNumberFormat="1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10" fontId="8" fillId="0" borderId="0" xfId="21" applyNumberFormat="1" applyFont="1" applyFill="1" applyAlignment="1">
      <alignment/>
    </xf>
    <xf numFmtId="3" fontId="6" fillId="0" borderId="21" xfId="17" applyNumberFormat="1" applyFont="1" applyFill="1" applyBorder="1" applyAlignment="1">
      <alignment wrapText="1"/>
    </xf>
    <xf numFmtId="3" fontId="4" fillId="0" borderId="27" xfId="17" applyNumberFormat="1" applyFont="1" applyFill="1" applyBorder="1" applyAlignment="1">
      <alignment wrapText="1"/>
    </xf>
    <xf numFmtId="43" fontId="6" fillId="0" borderId="0" xfId="17" applyFont="1" applyFill="1" applyAlignment="1">
      <alignment/>
    </xf>
    <xf numFmtId="164" fontId="0" fillId="0" borderId="0" xfId="0" applyNumberFormat="1" applyFont="1" applyFill="1" applyAlignment="1">
      <alignment/>
    </xf>
    <xf numFmtId="166" fontId="8" fillId="0" borderId="0" xfId="21" applyNumberFormat="1" applyFont="1" applyFill="1" applyAlignment="1">
      <alignment/>
    </xf>
    <xf numFmtId="3" fontId="6" fillId="0" borderId="21" xfId="17" applyNumberFormat="1" applyFont="1" applyFill="1" applyBorder="1" applyAlignment="1">
      <alignment/>
    </xf>
    <xf numFmtId="2" fontId="6" fillId="0" borderId="21" xfId="21" applyNumberFormat="1" applyFont="1" applyFill="1" applyBorder="1" applyAlignment="1">
      <alignment wrapText="1"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3" fontId="6" fillId="2" borderId="4" xfId="17" applyNumberFormat="1" applyFont="1" applyFill="1" applyBorder="1" applyAlignment="1">
      <alignment horizontal="right" wrapText="1"/>
    </xf>
    <xf numFmtId="164" fontId="6" fillId="2" borderId="4" xfId="17" applyNumberFormat="1" applyFont="1" applyFill="1" applyBorder="1" applyAlignment="1">
      <alignment horizontal="right" wrapText="1"/>
    </xf>
    <xf numFmtId="3" fontId="6" fillId="2" borderId="4" xfId="17" applyNumberFormat="1" applyFont="1" applyFill="1" applyBorder="1" applyAlignment="1">
      <alignment wrapText="1"/>
    </xf>
    <xf numFmtId="3" fontId="6" fillId="2" borderId="0" xfId="0" applyNumberFormat="1" applyFont="1" applyFill="1" applyAlignment="1">
      <alignment horizontal="right"/>
    </xf>
    <xf numFmtId="3" fontId="6" fillId="2" borderId="4" xfId="17" applyNumberFormat="1" applyFont="1" applyFill="1" applyBorder="1" applyAlignment="1">
      <alignment vertical="center" wrapText="1"/>
    </xf>
    <xf numFmtId="0" fontId="6" fillId="2" borderId="0" xfId="0" applyFont="1" applyFill="1" applyAlignment="1">
      <alignment/>
    </xf>
    <xf numFmtId="3" fontId="4" fillId="0" borderId="28" xfId="1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8" xfId="17" applyNumberFormat="1" applyFont="1" applyFill="1" applyBorder="1" applyAlignment="1">
      <alignment horizontal="center" vertical="center" wrapText="1"/>
    </xf>
    <xf numFmtId="164" fontId="4" fillId="0" borderId="2" xfId="17" applyNumberFormat="1" applyFont="1" applyFill="1" applyBorder="1" applyAlignment="1">
      <alignment horizontal="center" vertical="center" wrapText="1"/>
    </xf>
    <xf numFmtId="43" fontId="4" fillId="0" borderId="29" xfId="17" applyFont="1" applyFill="1" applyBorder="1" applyAlignment="1">
      <alignment horizontal="center" vertical="center"/>
    </xf>
    <xf numFmtId="43" fontId="7" fillId="0" borderId="28" xfId="17" applyFont="1" applyFill="1" applyBorder="1" applyAlignment="1">
      <alignment horizontal="center" vertical="center" wrapText="1"/>
    </xf>
    <xf numFmtId="43" fontId="7" fillId="0" borderId="2" xfId="17" applyFont="1" applyFill="1" applyBorder="1" applyAlignment="1">
      <alignment horizontal="center" vertical="center" wrapText="1"/>
    </xf>
    <xf numFmtId="3" fontId="4" fillId="0" borderId="2" xfId="17" applyNumberFormat="1" applyFont="1" applyFill="1" applyBorder="1" applyAlignment="1">
      <alignment horizontal="center" vertical="center" wrapText="1"/>
    </xf>
    <xf numFmtId="3" fontId="6" fillId="0" borderId="28" xfId="17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17" applyNumberFormat="1" applyFont="1" applyFill="1" applyBorder="1" applyAlignment="1">
      <alignment horizontal="center" vertical="center" wrapText="1"/>
    </xf>
    <xf numFmtId="3" fontId="6" fillId="0" borderId="29" xfId="17" applyNumberFormat="1" applyFont="1" applyFill="1" applyBorder="1" applyAlignment="1">
      <alignment horizontal="center" vertical="center"/>
    </xf>
    <xf numFmtId="3" fontId="6" fillId="0" borderId="30" xfId="17" applyNumberFormat="1" applyFont="1" applyFill="1" applyBorder="1" applyAlignment="1">
      <alignment horizontal="center" vertical="center" wrapText="1"/>
    </xf>
    <xf numFmtId="10" fontId="6" fillId="0" borderId="16" xfId="21" applyNumberFormat="1" applyFont="1" applyFill="1" applyBorder="1" applyAlignment="1">
      <alignment horizontal="center" vertical="center" wrapText="1"/>
    </xf>
    <xf numFmtId="10" fontId="6" fillId="0" borderId="7" xfId="21" applyNumberFormat="1" applyFont="1" applyFill="1" applyBorder="1" applyAlignment="1">
      <alignment horizontal="center" vertical="center" wrapText="1"/>
    </xf>
    <xf numFmtId="3" fontId="6" fillId="0" borderId="16" xfId="17" applyNumberFormat="1" applyFont="1" applyFill="1" applyBorder="1" applyAlignment="1">
      <alignment horizontal="center" vertical="center" wrapText="1"/>
    </xf>
    <xf numFmtId="3" fontId="6" fillId="0" borderId="31" xfId="17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Q178"/>
  <sheetViews>
    <sheetView workbookViewId="0" topLeftCell="H79">
      <selection activeCell="O97" sqref="O97"/>
    </sheetView>
  </sheetViews>
  <sheetFormatPr defaultColWidth="11.421875" defaultRowHeight="12.75"/>
  <cols>
    <col min="1" max="1" width="4.7109375" style="6" customWidth="1"/>
    <col min="2" max="2" width="5.00390625" style="6" customWidth="1"/>
    <col min="3" max="3" width="5.00390625" style="6" bestFit="1" customWidth="1"/>
    <col min="4" max="4" width="3.57421875" style="6" bestFit="1" customWidth="1"/>
    <col min="5" max="5" width="5.28125" style="6" customWidth="1"/>
    <col min="6" max="6" width="37.140625" style="11" bestFit="1" customWidth="1"/>
    <col min="7" max="7" width="20.140625" style="38" customWidth="1"/>
    <col min="8" max="8" width="1.7109375" style="39" customWidth="1"/>
    <col min="9" max="9" width="13.28125" style="38" customWidth="1"/>
    <col min="10" max="10" width="13.7109375" style="38" customWidth="1"/>
    <col min="11" max="11" width="15.28125" style="102" customWidth="1"/>
    <col min="12" max="12" width="10.8515625" style="102" customWidth="1"/>
    <col min="13" max="13" width="19.7109375" style="40" customWidth="1"/>
    <col min="14" max="14" width="1.7109375" style="41" customWidth="1"/>
    <col min="15" max="15" width="15.421875" style="40" bestFit="1" customWidth="1"/>
    <col min="16" max="16" width="19.57421875" style="40" customWidth="1"/>
    <col min="17" max="17" width="15.8515625" style="40" customWidth="1"/>
    <col min="18" max="18" width="13.7109375" style="40" customWidth="1"/>
    <col min="19" max="19" width="1.7109375" style="5" customWidth="1"/>
    <col min="20" max="20" width="16.421875" style="6" customWidth="1"/>
    <col min="21" max="21" width="17.57421875" style="44" customWidth="1"/>
    <col min="22" max="22" width="13.28125" style="6" customWidth="1"/>
    <col min="23" max="23" width="12.28125" style="6" customWidth="1"/>
    <col min="24" max="26" width="11.57421875" style="6" customWidth="1"/>
    <col min="27" max="27" width="25.140625" style="299" customWidth="1"/>
    <col min="28" max="43" width="11.57421875" style="299" customWidth="1"/>
    <col min="44" max="16384" width="11.57421875" style="6" customWidth="1"/>
  </cols>
  <sheetData>
    <row r="1" spans="1:43" s="1" customFormat="1" ht="15.7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</row>
    <row r="2" spans="1:43" s="1" customFormat="1" ht="12.75">
      <c r="A2" s="350" t="s">
        <v>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</row>
    <row r="3" spans="1:43" s="1" customFormat="1" ht="14.25">
      <c r="A3" s="351" t="s">
        <v>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</row>
    <row r="4" spans="6:43" s="1" customFormat="1" ht="13.5" thickBot="1">
      <c r="F4" s="76"/>
      <c r="G4" s="12"/>
      <c r="H4" s="13"/>
      <c r="I4" s="12"/>
      <c r="J4" s="12"/>
      <c r="K4" s="97"/>
      <c r="L4" s="97"/>
      <c r="M4" s="14"/>
      <c r="N4" s="15"/>
      <c r="O4" s="14"/>
      <c r="P4" s="14"/>
      <c r="Q4" s="14"/>
      <c r="R4" s="14"/>
      <c r="S4" s="2"/>
      <c r="U4" s="43"/>
      <c r="Y4" s="331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</row>
    <row r="5" spans="1:43" s="4" customFormat="1" ht="13.5" customHeight="1" thickBot="1">
      <c r="A5" s="352" t="s">
        <v>3</v>
      </c>
      <c r="B5" s="352" t="s">
        <v>4</v>
      </c>
      <c r="C5" s="352" t="s">
        <v>5</v>
      </c>
      <c r="D5" s="352" t="s">
        <v>6</v>
      </c>
      <c r="E5" s="352" t="s">
        <v>7</v>
      </c>
      <c r="F5" s="354" t="s">
        <v>8</v>
      </c>
      <c r="G5" s="356" t="s">
        <v>9</v>
      </c>
      <c r="H5" s="16"/>
      <c r="I5" s="358" t="s">
        <v>10</v>
      </c>
      <c r="J5" s="358"/>
      <c r="K5" s="359" t="s">
        <v>11</v>
      </c>
      <c r="L5" s="359" t="s">
        <v>12</v>
      </c>
      <c r="M5" s="348" t="s">
        <v>13</v>
      </c>
      <c r="N5" s="17"/>
      <c r="O5" s="348" t="s">
        <v>96</v>
      </c>
      <c r="P5" s="348"/>
      <c r="Q5" s="348"/>
      <c r="R5" s="348"/>
      <c r="S5" s="3"/>
      <c r="T5" s="348" t="s">
        <v>72</v>
      </c>
      <c r="U5" s="348"/>
      <c r="V5" s="348"/>
      <c r="W5" s="348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90"/>
      <c r="AQ5" s="290"/>
    </row>
    <row r="6" spans="1:43" s="4" customFormat="1" ht="24.75" thickBot="1">
      <c r="A6" s="353"/>
      <c r="B6" s="353"/>
      <c r="C6" s="353"/>
      <c r="D6" s="353"/>
      <c r="E6" s="353"/>
      <c r="F6" s="355"/>
      <c r="G6" s="357"/>
      <c r="H6" s="16"/>
      <c r="I6" s="325" t="s">
        <v>14</v>
      </c>
      <c r="J6" s="325" t="s">
        <v>15</v>
      </c>
      <c r="K6" s="360"/>
      <c r="L6" s="360"/>
      <c r="M6" s="361"/>
      <c r="N6" s="17"/>
      <c r="O6" s="18" t="s">
        <v>16</v>
      </c>
      <c r="P6" s="18" t="s">
        <v>17</v>
      </c>
      <c r="Q6" s="18" t="s">
        <v>18</v>
      </c>
      <c r="R6" s="18" t="s">
        <v>19</v>
      </c>
      <c r="S6" s="3"/>
      <c r="T6" s="18" t="s">
        <v>74</v>
      </c>
      <c r="U6" s="18" t="s">
        <v>75</v>
      </c>
      <c r="V6" s="18" t="s">
        <v>76</v>
      </c>
      <c r="W6" s="18" t="s">
        <v>77</v>
      </c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</row>
    <row r="7" spans="1:43" s="66" customFormat="1" ht="12.75">
      <c r="A7" s="62"/>
      <c r="B7" s="62"/>
      <c r="C7" s="62"/>
      <c r="D7" s="62"/>
      <c r="E7" s="62"/>
      <c r="F7" s="63"/>
      <c r="G7" s="64"/>
      <c r="H7" s="25"/>
      <c r="I7" s="64"/>
      <c r="J7" s="64"/>
      <c r="K7" s="98"/>
      <c r="L7" s="98"/>
      <c r="M7" s="65"/>
      <c r="N7" s="26"/>
      <c r="O7" s="65"/>
      <c r="P7" s="65"/>
      <c r="Q7" s="21"/>
      <c r="R7" s="21"/>
      <c r="S7" s="5"/>
      <c r="T7" s="140"/>
      <c r="U7" s="65"/>
      <c r="V7" s="21"/>
      <c r="W7" s="14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</row>
    <row r="8" spans="1:43" s="66" customFormat="1" ht="12.75">
      <c r="A8" s="106">
        <v>1</v>
      </c>
      <c r="B8" s="23"/>
      <c r="C8" s="23"/>
      <c r="D8" s="23"/>
      <c r="E8" s="23"/>
      <c r="F8" s="22" t="s">
        <v>20</v>
      </c>
      <c r="G8" s="107">
        <f>+G10+G49+G71</f>
        <v>5704289080</v>
      </c>
      <c r="H8" s="136"/>
      <c r="I8" s="303">
        <v>0</v>
      </c>
      <c r="J8" s="303">
        <v>0</v>
      </c>
      <c r="K8" s="303">
        <f>+K10+K49+K71</f>
        <v>0</v>
      </c>
      <c r="L8" s="303">
        <f>+L10+L49+L71</f>
        <v>0</v>
      </c>
      <c r="M8" s="186">
        <f>M10+M49+M71</f>
        <v>5630135403</v>
      </c>
      <c r="N8" s="112"/>
      <c r="O8" s="112">
        <f>+O10+O49+O71</f>
        <v>5560064294</v>
      </c>
      <c r="P8" s="112">
        <f>+P10+P49+P71</f>
        <v>5550279179</v>
      </c>
      <c r="Q8" s="112">
        <f>+Q10+Q49+Q71</f>
        <v>5545468767</v>
      </c>
      <c r="R8" s="112">
        <f>+R10+R49+R71</f>
        <v>5545427591</v>
      </c>
      <c r="S8" s="115"/>
      <c r="T8" s="112">
        <f>+T10+T49+T71</f>
        <v>70071109</v>
      </c>
      <c r="U8" s="112">
        <f>+U10+U49+U71</f>
        <v>9785115</v>
      </c>
      <c r="V8" s="112">
        <f>+V10+V49+V71</f>
        <v>4810412</v>
      </c>
      <c r="W8" s="112">
        <f>+W10+W49+W71</f>
        <v>41176</v>
      </c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</row>
    <row r="9" spans="1:43" s="66" customFormat="1" ht="12.75">
      <c r="A9" s="23"/>
      <c r="B9" s="23"/>
      <c r="C9" s="23"/>
      <c r="D9" s="23"/>
      <c r="E9" s="23"/>
      <c r="F9" s="23"/>
      <c r="G9" s="107"/>
      <c r="H9" s="108"/>
      <c r="I9" s="108"/>
      <c r="J9" s="108"/>
      <c r="K9" s="114"/>
      <c r="L9" s="114"/>
      <c r="M9" s="112"/>
      <c r="N9" s="112"/>
      <c r="O9" s="112"/>
      <c r="P9" s="112"/>
      <c r="Q9" s="112"/>
      <c r="R9" s="112"/>
      <c r="S9" s="115"/>
      <c r="T9" s="142"/>
      <c r="U9" s="112"/>
      <c r="V9" s="112"/>
      <c r="W9" s="143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</row>
    <row r="10" spans="1:43" s="61" customFormat="1" ht="12.75">
      <c r="A10" s="106">
        <v>1</v>
      </c>
      <c r="B10" s="106">
        <v>0</v>
      </c>
      <c r="C10" s="106"/>
      <c r="D10" s="106"/>
      <c r="E10" s="106"/>
      <c r="F10" s="24" t="s">
        <v>21</v>
      </c>
      <c r="G10" s="108">
        <f>+G12+G39+G42</f>
        <v>3830424580</v>
      </c>
      <c r="H10" s="108"/>
      <c r="I10" s="108">
        <v>0</v>
      </c>
      <c r="J10" s="108">
        <v>0</v>
      </c>
      <c r="K10" s="108">
        <f>+K12+K39+K42</f>
        <v>0</v>
      </c>
      <c r="L10" s="108">
        <f>+L12+L39+L42</f>
        <v>0</v>
      </c>
      <c r="M10" s="186">
        <f>M12+M39+M42</f>
        <v>3789270903</v>
      </c>
      <c r="N10" s="116"/>
      <c r="O10" s="112">
        <f>+O12+O39+O42</f>
        <v>3806023046</v>
      </c>
      <c r="P10" s="112">
        <f>+P12+P39+P42</f>
        <v>3806023046</v>
      </c>
      <c r="Q10" s="112">
        <f>+Q12+Q39+Q42</f>
        <v>3806023046</v>
      </c>
      <c r="R10" s="112">
        <f>+R12+R39+R42</f>
        <v>3805981870</v>
      </c>
      <c r="S10" s="117"/>
      <c r="T10" s="112">
        <f>+T12+T39+T42</f>
        <v>-16752143</v>
      </c>
      <c r="U10" s="112">
        <f>+U12+U39+U42</f>
        <v>0</v>
      </c>
      <c r="V10" s="112">
        <f>+V12+V39+V42</f>
        <v>0</v>
      </c>
      <c r="W10" s="112">
        <f>+W12+W39+W42</f>
        <v>41176</v>
      </c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</row>
    <row r="11" spans="1:43" s="66" customFormat="1" ht="12.75">
      <c r="A11" s="109"/>
      <c r="B11" s="109"/>
      <c r="C11" s="109"/>
      <c r="D11" s="109"/>
      <c r="E11" s="109"/>
      <c r="F11" s="24"/>
      <c r="G11" s="108"/>
      <c r="H11" s="108"/>
      <c r="I11" s="324"/>
      <c r="J11" s="324"/>
      <c r="K11" s="118"/>
      <c r="L11" s="118"/>
      <c r="M11" s="111"/>
      <c r="N11" s="111"/>
      <c r="O11" s="111" t="s">
        <v>86</v>
      </c>
      <c r="P11" s="111"/>
      <c r="Q11" s="111"/>
      <c r="R11" s="111"/>
      <c r="S11" s="115"/>
      <c r="T11" s="144"/>
      <c r="U11" s="111"/>
      <c r="V11" s="111"/>
      <c r="W11" s="145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</row>
    <row r="12" spans="1:43" s="61" customFormat="1" ht="24">
      <c r="A12" s="106">
        <v>1</v>
      </c>
      <c r="B12" s="106">
        <v>0</v>
      </c>
      <c r="C12" s="106">
        <v>1</v>
      </c>
      <c r="D12" s="106"/>
      <c r="E12" s="106"/>
      <c r="F12" s="24" t="s">
        <v>22</v>
      </c>
      <c r="G12" s="108">
        <f>+G14+G18+G22+G32+G35</f>
        <v>2952543580</v>
      </c>
      <c r="H12" s="108"/>
      <c r="I12" s="108">
        <v>0</v>
      </c>
      <c r="J12" s="108">
        <v>0</v>
      </c>
      <c r="K12" s="114">
        <f>+K14+K18+K22+K32+K35</f>
        <v>0</v>
      </c>
      <c r="L12" s="114">
        <f>+L14+L18+L22+L32+L35</f>
        <v>0</v>
      </c>
      <c r="M12" s="186">
        <f>M14+M18+M22+M32+M35</f>
        <v>2886753948</v>
      </c>
      <c r="N12" s="112"/>
      <c r="O12" s="112">
        <f>+O14+O18+O22+O32+O35</f>
        <v>2908050691</v>
      </c>
      <c r="P12" s="112">
        <f>+P14+P18+P22+P32+P35</f>
        <v>2908050691</v>
      </c>
      <c r="Q12" s="112">
        <f>+Q14+Q18+Q22+Q32+Q35</f>
        <v>2908050691</v>
      </c>
      <c r="R12" s="112">
        <f>+R14+R18+R22+R32+R35</f>
        <v>2908009515</v>
      </c>
      <c r="S12" s="117"/>
      <c r="T12" s="112">
        <f>+T14+T18+T22+T32+T35</f>
        <v>-21296743</v>
      </c>
      <c r="U12" s="112">
        <f>+U14+U18+U22+U32+U35</f>
        <v>0</v>
      </c>
      <c r="V12" s="112">
        <f>+V14+V18+V22+V32+V35</f>
        <v>0</v>
      </c>
      <c r="W12" s="112">
        <f>+W14+W18+W22+W32+W35</f>
        <v>41176</v>
      </c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</row>
    <row r="13" spans="1:43" s="61" customFormat="1" ht="12.75">
      <c r="A13" s="106"/>
      <c r="B13" s="106"/>
      <c r="C13" s="106"/>
      <c r="D13" s="106"/>
      <c r="E13" s="106"/>
      <c r="F13" s="24"/>
      <c r="G13" s="108"/>
      <c r="H13" s="108"/>
      <c r="I13" s="108"/>
      <c r="J13" s="108"/>
      <c r="K13" s="114"/>
      <c r="L13" s="114"/>
      <c r="M13" s="112"/>
      <c r="N13" s="112"/>
      <c r="O13" s="112"/>
      <c r="P13" s="112"/>
      <c r="Q13" s="112"/>
      <c r="R13" s="112"/>
      <c r="S13" s="117"/>
      <c r="T13" s="142"/>
      <c r="U13" s="112"/>
      <c r="V13" s="112"/>
      <c r="W13" s="143"/>
      <c r="AA13" s="292"/>
      <c r="AB13" s="292"/>
      <c r="AC13" s="292"/>
      <c r="AD13" s="292"/>
      <c r="AE13" s="29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</row>
    <row r="14" spans="1:43" s="61" customFormat="1" ht="12.75">
      <c r="A14" s="106">
        <v>1</v>
      </c>
      <c r="B14" s="106">
        <v>0</v>
      </c>
      <c r="C14" s="106">
        <v>1</v>
      </c>
      <c r="D14" s="106">
        <v>1</v>
      </c>
      <c r="E14" s="106"/>
      <c r="F14" s="24" t="s">
        <v>23</v>
      </c>
      <c r="G14" s="108">
        <f>+G15+G16</f>
        <v>1924198000</v>
      </c>
      <c r="H14" s="108"/>
      <c r="I14" s="108">
        <f>SUM(I15:I16)</f>
        <v>31261870</v>
      </c>
      <c r="J14" s="108">
        <f>SUM(J15:J16)</f>
        <v>226587182</v>
      </c>
      <c r="K14" s="114"/>
      <c r="L14" s="114"/>
      <c r="M14" s="186">
        <f>+G14+J14+L14-K14-I14</f>
        <v>2119523312</v>
      </c>
      <c r="N14" s="112"/>
      <c r="O14" s="112">
        <f>SUM(O15:O16)</f>
        <v>2110626844</v>
      </c>
      <c r="P14" s="112">
        <f>SUM(P15:P16)</f>
        <v>2110626844</v>
      </c>
      <c r="Q14" s="112">
        <f>SUM(Q15:Q16)</f>
        <v>2110626844</v>
      </c>
      <c r="R14" s="112">
        <f>SUM(R15:R16)</f>
        <v>2110626844</v>
      </c>
      <c r="S14" s="117"/>
      <c r="T14" s="112">
        <f>SUM(T15:T16)</f>
        <v>8896468</v>
      </c>
      <c r="U14" s="112">
        <f>SUM(U15:U16)</f>
        <v>0</v>
      </c>
      <c r="V14" s="112">
        <f>SUM(V15:V16)</f>
        <v>0</v>
      </c>
      <c r="W14" s="112">
        <f>SUM(W15:W16)</f>
        <v>0</v>
      </c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</row>
    <row r="15" spans="1:43" s="66" customFormat="1" ht="12.75">
      <c r="A15" s="109">
        <v>1</v>
      </c>
      <c r="B15" s="109">
        <v>0</v>
      </c>
      <c r="C15" s="109">
        <v>1</v>
      </c>
      <c r="D15" s="109">
        <v>1</v>
      </c>
      <c r="E15" s="109">
        <v>1</v>
      </c>
      <c r="F15" s="29" t="s">
        <v>52</v>
      </c>
      <c r="G15" s="110">
        <v>1704198000</v>
      </c>
      <c r="H15" s="110"/>
      <c r="I15" s="324"/>
      <c r="J15" s="324">
        <v>226587182</v>
      </c>
      <c r="K15" s="118"/>
      <c r="L15" s="118"/>
      <c r="M15" s="111">
        <f>+G15+J15+L15-K15-I15</f>
        <v>1930785182</v>
      </c>
      <c r="N15" s="111"/>
      <c r="O15" s="110">
        <f>116623417+227868600+204457865+207178350+207178350+207319304+206698509+206143328+205131458+136942086</f>
        <v>1925541267</v>
      </c>
      <c r="P15" s="110">
        <f>116623417+227868600+204457865+207178350+207178350+207319304+206698509+206143328+205131458+136942086</f>
        <v>1925541267</v>
      </c>
      <c r="Q15" s="110">
        <f>116623417+227868600+204457865+207178350+207178350+207319304+206698509+206143328+205131458+136942086</f>
        <v>1925541267</v>
      </c>
      <c r="R15" s="110">
        <f>116623417+227868600+204457865+207178350+207178350+207319304+206698509+206143328+205131458+136942086</f>
        <v>1925541267</v>
      </c>
      <c r="S15" s="115"/>
      <c r="T15" s="146">
        <f>+M15-O15</f>
        <v>5243915</v>
      </c>
      <c r="U15" s="110">
        <f aca="true" t="shared" si="0" ref="U15:W16">+O15-P15</f>
        <v>0</v>
      </c>
      <c r="V15" s="110">
        <f t="shared" si="0"/>
        <v>0</v>
      </c>
      <c r="W15" s="147">
        <f t="shared" si="0"/>
        <v>0</v>
      </c>
      <c r="X15" s="92"/>
      <c r="Y15" s="92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</row>
    <row r="16" spans="1:43" s="66" customFormat="1" ht="12.75">
      <c r="A16" s="109">
        <v>1</v>
      </c>
      <c r="B16" s="109">
        <v>0</v>
      </c>
      <c r="C16" s="109">
        <v>1</v>
      </c>
      <c r="D16" s="109">
        <v>1</v>
      </c>
      <c r="E16" s="109">
        <v>2</v>
      </c>
      <c r="F16" s="29" t="s">
        <v>53</v>
      </c>
      <c r="G16" s="110">
        <v>220000000</v>
      </c>
      <c r="H16" s="110"/>
      <c r="I16" s="324">
        <v>31261870</v>
      </c>
      <c r="J16" s="324">
        <v>0</v>
      </c>
      <c r="K16" s="118"/>
      <c r="L16" s="118"/>
      <c r="M16" s="111">
        <f>+G16+J16+L16-K16-I16</f>
        <v>188738130</v>
      </c>
      <c r="N16" s="111"/>
      <c r="O16" s="110">
        <f>6421470+178664107</f>
        <v>185085577</v>
      </c>
      <c r="P16" s="110">
        <f>6421470+178664107</f>
        <v>185085577</v>
      </c>
      <c r="Q16" s="110">
        <f>6421470+178664107</f>
        <v>185085577</v>
      </c>
      <c r="R16" s="110">
        <f>6421470+178664107</f>
        <v>185085577</v>
      </c>
      <c r="S16" s="115"/>
      <c r="T16" s="146">
        <f>+M16-O16</f>
        <v>3652553</v>
      </c>
      <c r="U16" s="110">
        <f t="shared" si="0"/>
        <v>0</v>
      </c>
      <c r="V16" s="110">
        <f t="shared" si="0"/>
        <v>0</v>
      </c>
      <c r="W16" s="147">
        <f t="shared" si="0"/>
        <v>0</v>
      </c>
      <c r="X16" s="92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</row>
    <row r="17" spans="1:43" s="66" customFormat="1" ht="12.75">
      <c r="A17" s="109"/>
      <c r="B17" s="109"/>
      <c r="C17" s="109"/>
      <c r="D17" s="109"/>
      <c r="E17" s="109"/>
      <c r="F17" s="29"/>
      <c r="G17" s="110"/>
      <c r="H17" s="110"/>
      <c r="I17" s="324"/>
      <c r="J17" s="324"/>
      <c r="K17" s="118"/>
      <c r="L17" s="118"/>
      <c r="M17" s="111"/>
      <c r="N17" s="111"/>
      <c r="O17" s="111"/>
      <c r="P17" s="111"/>
      <c r="Q17" s="111"/>
      <c r="R17" s="111"/>
      <c r="S17" s="115"/>
      <c r="T17" s="144"/>
      <c r="U17" s="111"/>
      <c r="V17" s="111"/>
      <c r="W17" s="145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</row>
    <row r="18" spans="1:43" s="61" customFormat="1" ht="12.75">
      <c r="A18" s="106">
        <v>1</v>
      </c>
      <c r="B18" s="106">
        <v>0</v>
      </c>
      <c r="C18" s="106">
        <v>1</v>
      </c>
      <c r="D18" s="106">
        <v>4</v>
      </c>
      <c r="E18" s="106"/>
      <c r="F18" s="24" t="s">
        <v>24</v>
      </c>
      <c r="G18" s="108">
        <f>+G19+G20</f>
        <v>247885000</v>
      </c>
      <c r="H18" s="108"/>
      <c r="I18" s="108">
        <f>SUM(I19:I20)</f>
        <v>3616685</v>
      </c>
      <c r="J18" s="108">
        <f>SUM(J19:J20)</f>
        <v>22264586</v>
      </c>
      <c r="K18" s="120"/>
      <c r="L18" s="120"/>
      <c r="M18" s="186">
        <f>+G18+J18+L18-K18-I18</f>
        <v>266532901</v>
      </c>
      <c r="N18" s="112"/>
      <c r="O18" s="112">
        <f>SUM(O19:O20)</f>
        <v>265544433</v>
      </c>
      <c r="P18" s="112">
        <f>SUM(P19:P20)</f>
        <v>265544433</v>
      </c>
      <c r="Q18" s="112">
        <f>SUM(Q19:Q20)</f>
        <v>265544433</v>
      </c>
      <c r="R18" s="112">
        <f>SUM(R19:R20)</f>
        <v>265544433</v>
      </c>
      <c r="S18" s="117"/>
      <c r="T18" s="112">
        <f>SUM(T19:T20)</f>
        <v>988468</v>
      </c>
      <c r="U18" s="112">
        <f>SUM(U19:U20)</f>
        <v>0</v>
      </c>
      <c r="V18" s="112">
        <f>SUM(V19:V20)</f>
        <v>0</v>
      </c>
      <c r="W18" s="112">
        <f>SUM(W19:W20)</f>
        <v>0</v>
      </c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</row>
    <row r="19" spans="1:43" s="66" customFormat="1" ht="12.75">
      <c r="A19" s="109">
        <v>1</v>
      </c>
      <c r="B19" s="109">
        <v>0</v>
      </c>
      <c r="C19" s="109">
        <v>1</v>
      </c>
      <c r="D19" s="109">
        <v>4</v>
      </c>
      <c r="E19" s="109">
        <v>1</v>
      </c>
      <c r="F19" s="29" t="s">
        <v>54</v>
      </c>
      <c r="G19" s="110">
        <v>28000000</v>
      </c>
      <c r="H19" s="110"/>
      <c r="I19" s="330">
        <v>3616685</v>
      </c>
      <c r="J19" s="324">
        <v>0</v>
      </c>
      <c r="K19" s="118"/>
      <c r="L19" s="118"/>
      <c r="M19" s="111">
        <f>+G19+J19+L19-K19-I19</f>
        <v>24383315</v>
      </c>
      <c r="N19" s="111"/>
      <c r="O19" s="110">
        <f>2404080+2746595+2404080+2404080+2404080+2404080+2404080+2404080+2404080+2404080</f>
        <v>24383315</v>
      </c>
      <c r="P19" s="110">
        <f>2404080+2746595+2404080+2404080+2404080+2404080+2404080+2404080+2404080+2404080</f>
        <v>24383315</v>
      </c>
      <c r="Q19" s="110">
        <f>2404080+2746595+2404080+2404080+2404080+2404080+2404080+2404080+2404080+2404080</f>
        <v>24383315</v>
      </c>
      <c r="R19" s="110">
        <f>2404080+2746595+2404080+2404080+2404080+2404080+2404080+2404080+2404080+2404080</f>
        <v>24383315</v>
      </c>
      <c r="S19" s="115"/>
      <c r="T19" s="146">
        <f>+M19-O19</f>
        <v>0</v>
      </c>
      <c r="U19" s="110">
        <f aca="true" t="shared" si="1" ref="U19:W20">+O19-P19</f>
        <v>0</v>
      </c>
      <c r="V19" s="110">
        <f t="shared" si="1"/>
        <v>0</v>
      </c>
      <c r="W19" s="147">
        <f t="shared" si="1"/>
        <v>0</v>
      </c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</row>
    <row r="20" spans="1:43" s="66" customFormat="1" ht="12.75">
      <c r="A20" s="109">
        <v>1</v>
      </c>
      <c r="B20" s="109">
        <v>0</v>
      </c>
      <c r="C20" s="109">
        <v>1</v>
      </c>
      <c r="D20" s="109">
        <v>4</v>
      </c>
      <c r="E20" s="109">
        <v>2</v>
      </c>
      <c r="F20" s="29" t="s">
        <v>55</v>
      </c>
      <c r="G20" s="110">
        <v>219885000</v>
      </c>
      <c r="H20" s="110"/>
      <c r="I20" s="330">
        <v>0</v>
      </c>
      <c r="J20" s="324">
        <f>3616685+18647901</f>
        <v>22264586</v>
      </c>
      <c r="K20" s="118"/>
      <c r="L20" s="118"/>
      <c r="M20" s="111">
        <f>+G20+J20+L20-K20-I20</f>
        <v>242149586</v>
      </c>
      <c r="N20" s="111"/>
      <c r="O20" s="110">
        <f>24285662+27745700+24285662+24285662+24285662+24285662+21881582+22522670+23791428+23791428</f>
        <v>241161118</v>
      </c>
      <c r="P20" s="110">
        <f>24285662+27745700+24285662+24285662+24285662+24285662+21881582+22522670+23791428+23791428</f>
        <v>241161118</v>
      </c>
      <c r="Q20" s="110">
        <f>24285662+27745700+24285662+24285662+24285662+24285662+21881582+22522670+23791428+23791428</f>
        <v>241161118</v>
      </c>
      <c r="R20" s="110">
        <f>24285662+27745700+24285662+24285662+24285662+24285662+21881582+22522670+23791428+23791428</f>
        <v>241161118</v>
      </c>
      <c r="S20" s="115"/>
      <c r="T20" s="146">
        <f>+M20-O20</f>
        <v>988468</v>
      </c>
      <c r="U20" s="110">
        <f t="shared" si="1"/>
        <v>0</v>
      </c>
      <c r="V20" s="110">
        <f t="shared" si="1"/>
        <v>0</v>
      </c>
      <c r="W20" s="147">
        <f t="shared" si="1"/>
        <v>0</v>
      </c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</row>
    <row r="21" spans="1:43" s="66" customFormat="1" ht="12.75">
      <c r="A21" s="109"/>
      <c r="B21" s="109"/>
      <c r="C21" s="109"/>
      <c r="D21" s="109"/>
      <c r="E21" s="109"/>
      <c r="F21" s="29"/>
      <c r="G21" s="110"/>
      <c r="H21" s="110"/>
      <c r="I21" s="324"/>
      <c r="J21" s="324"/>
      <c r="K21" s="118"/>
      <c r="L21" s="118"/>
      <c r="M21" s="111"/>
      <c r="N21" s="111"/>
      <c r="O21" s="111"/>
      <c r="P21" s="111"/>
      <c r="Q21" s="111"/>
      <c r="R21" s="111"/>
      <c r="S21" s="115"/>
      <c r="T21" s="144"/>
      <c r="U21" s="111"/>
      <c r="V21" s="111"/>
      <c r="W21" s="145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</row>
    <row r="22" spans="1:43" s="66" customFormat="1" ht="12.75">
      <c r="A22" s="51">
        <v>1</v>
      </c>
      <c r="B22" s="51">
        <v>0</v>
      </c>
      <c r="C22" s="51">
        <v>1</v>
      </c>
      <c r="D22" s="51">
        <v>5</v>
      </c>
      <c r="E22" s="51"/>
      <c r="F22" s="24" t="s">
        <v>25</v>
      </c>
      <c r="G22" s="108">
        <f>SUM(G23:G30)</f>
        <v>478359000</v>
      </c>
      <c r="H22" s="108"/>
      <c r="I22" s="108">
        <v>0</v>
      </c>
      <c r="J22" s="108">
        <v>0</v>
      </c>
      <c r="K22" s="118"/>
      <c r="L22" s="118"/>
      <c r="M22" s="186">
        <f aca="true" t="shared" si="2" ref="M22:M30">+G22+J22+L22-K22-I22</f>
        <v>478359000</v>
      </c>
      <c r="N22" s="112"/>
      <c r="O22" s="112">
        <f>SUM(O23:O30)</f>
        <v>509974209</v>
      </c>
      <c r="P22" s="112">
        <f>SUM(P23:P30)</f>
        <v>509974209</v>
      </c>
      <c r="Q22" s="112">
        <f>SUM(Q23:Q30)</f>
        <v>509974209</v>
      </c>
      <c r="R22" s="112">
        <f>SUM(R23:R30)</f>
        <v>509974209</v>
      </c>
      <c r="S22" s="115"/>
      <c r="T22" s="142">
        <f>+M22-O22</f>
        <v>-31615209</v>
      </c>
      <c r="U22" s="112">
        <f>+O22-P22</f>
        <v>0</v>
      </c>
      <c r="V22" s="112">
        <f>+P22-Q22</f>
        <v>0</v>
      </c>
      <c r="W22" s="143">
        <f>+Q22-R22</f>
        <v>0</v>
      </c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</row>
    <row r="23" spans="1:43" s="66" customFormat="1" ht="24">
      <c r="A23" s="109">
        <v>1</v>
      </c>
      <c r="B23" s="109">
        <v>0</v>
      </c>
      <c r="C23" s="109">
        <v>1</v>
      </c>
      <c r="D23" s="109">
        <v>5</v>
      </c>
      <c r="E23" s="109">
        <v>2</v>
      </c>
      <c r="F23" s="29" t="s">
        <v>56</v>
      </c>
      <c r="G23" s="110">
        <v>65829000</v>
      </c>
      <c r="H23" s="110"/>
      <c r="I23" s="324"/>
      <c r="J23" s="324">
        <v>3110952</v>
      </c>
      <c r="K23" s="118"/>
      <c r="L23" s="118"/>
      <c r="M23" s="111">
        <f t="shared" si="2"/>
        <v>68939952</v>
      </c>
      <c r="N23" s="111"/>
      <c r="O23" s="111">
        <f>3391994+6672763+7468123+10576624+3596178+4027506+6350880+7069930+10112678+6235440+3437836</f>
        <v>68939952</v>
      </c>
      <c r="P23" s="111">
        <f>3391994+6672763+7468123+10576624+3596178+4027506+6350880+7069930+10112678+6235440+3437836</f>
        <v>68939952</v>
      </c>
      <c r="Q23" s="111">
        <f>3391994+6672763+7468123+10576624+3596178+4027506+6350880+7069930+10112678+6235440+3437836</f>
        <v>68939952</v>
      </c>
      <c r="R23" s="111">
        <f>3391994+6672763+7468123+10576624+3596178+4027506+6350880+7069930+10112678+6235440+3437836</f>
        <v>68939952</v>
      </c>
      <c r="S23" s="115"/>
      <c r="T23" s="146">
        <f aca="true" t="shared" si="3" ref="T23:T30">+M23-O23</f>
        <v>0</v>
      </c>
      <c r="U23" s="110">
        <f aca="true" t="shared" si="4" ref="U23:W30">+O23-P23</f>
        <v>0</v>
      </c>
      <c r="V23" s="110">
        <f t="shared" si="4"/>
        <v>0</v>
      </c>
      <c r="W23" s="147">
        <f t="shared" si="4"/>
        <v>0</v>
      </c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</row>
    <row r="24" spans="1:43" s="66" customFormat="1" ht="24">
      <c r="A24" s="109">
        <v>1</v>
      </c>
      <c r="B24" s="109">
        <v>0</v>
      </c>
      <c r="C24" s="109">
        <v>1</v>
      </c>
      <c r="D24" s="109">
        <v>5</v>
      </c>
      <c r="E24" s="109">
        <v>5</v>
      </c>
      <c r="F24" s="29" t="s">
        <v>57</v>
      </c>
      <c r="G24" s="110">
        <v>12828000</v>
      </c>
      <c r="H24" s="110"/>
      <c r="I24" s="324"/>
      <c r="J24" s="324">
        <v>2172259</v>
      </c>
      <c r="K24" s="118"/>
      <c r="L24" s="118"/>
      <c r="M24" s="111">
        <f t="shared" si="2"/>
        <v>15000259</v>
      </c>
      <c r="N24" s="111"/>
      <c r="O24" s="111">
        <f>202327+42246+27628+258530+493638+164008+9559+13765313</f>
        <v>14963249</v>
      </c>
      <c r="P24" s="111">
        <f>202327+42246+27628+258530+493638+164008+9559+13765313</f>
        <v>14963249</v>
      </c>
      <c r="Q24" s="111">
        <f>202327+42246+27628+258530+493638+164008+9559+13765313</f>
        <v>14963249</v>
      </c>
      <c r="R24" s="111">
        <f>202327+42246+27628+258530+493638+164008+9559+13765313</f>
        <v>14963249</v>
      </c>
      <c r="S24" s="138"/>
      <c r="T24" s="146">
        <f t="shared" si="3"/>
        <v>37010</v>
      </c>
      <c r="U24" s="110">
        <f t="shared" si="4"/>
        <v>0</v>
      </c>
      <c r="V24" s="110">
        <f t="shared" si="4"/>
        <v>0</v>
      </c>
      <c r="W24" s="147">
        <f t="shared" si="4"/>
        <v>0</v>
      </c>
      <c r="X24" s="92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</row>
    <row r="25" spans="1:43" s="66" customFormat="1" ht="12.75">
      <c r="A25" s="109">
        <v>1</v>
      </c>
      <c r="B25" s="109">
        <v>0</v>
      </c>
      <c r="C25" s="109">
        <v>1</v>
      </c>
      <c r="D25" s="109">
        <v>5</v>
      </c>
      <c r="E25" s="109">
        <v>12</v>
      </c>
      <c r="F25" s="29" t="s">
        <v>58</v>
      </c>
      <c r="G25" s="110">
        <v>4855000</v>
      </c>
      <c r="H25" s="110"/>
      <c r="I25" s="324"/>
      <c r="J25" s="324"/>
      <c r="K25" s="118"/>
      <c r="L25" s="118"/>
      <c r="M25" s="111">
        <f t="shared" si="2"/>
        <v>4855000</v>
      </c>
      <c r="N25" s="111"/>
      <c r="O25" s="110">
        <f>229729+577166+525356+525356+525356+499762+517274+525356+522662+350233</f>
        <v>4798250</v>
      </c>
      <c r="P25" s="110">
        <f>229729+577166+525356+525356+525356+499762+517274+525356+522662+350233</f>
        <v>4798250</v>
      </c>
      <c r="Q25" s="110">
        <f>229729+577166+525356+525356+525356+499762+517274+525356+522662+350233</f>
        <v>4798250</v>
      </c>
      <c r="R25" s="110">
        <f>229729+577166+525356+525356+525356+499762+517274+525356+522662+350233</f>
        <v>4798250</v>
      </c>
      <c r="S25" s="115"/>
      <c r="T25" s="146">
        <f t="shared" si="3"/>
        <v>56750</v>
      </c>
      <c r="U25" s="110">
        <f t="shared" si="4"/>
        <v>0</v>
      </c>
      <c r="V25" s="110">
        <f t="shared" si="4"/>
        <v>0</v>
      </c>
      <c r="W25" s="147">
        <f t="shared" si="4"/>
        <v>0</v>
      </c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</row>
    <row r="26" spans="1:43" s="66" customFormat="1" ht="12.75">
      <c r="A26" s="109">
        <v>1</v>
      </c>
      <c r="B26" s="109">
        <v>0</v>
      </c>
      <c r="C26" s="109">
        <v>1</v>
      </c>
      <c r="D26" s="109">
        <v>5</v>
      </c>
      <c r="E26" s="109">
        <v>13</v>
      </c>
      <c r="F26" s="29" t="s">
        <v>59</v>
      </c>
      <c r="G26" s="110">
        <v>5500000</v>
      </c>
      <c r="H26" s="110"/>
      <c r="I26" s="324"/>
      <c r="J26" s="324">
        <v>300000</v>
      </c>
      <c r="K26" s="118"/>
      <c r="L26" s="118"/>
      <c r="M26" s="111">
        <f t="shared" si="2"/>
        <v>5800000</v>
      </c>
      <c r="N26" s="111"/>
      <c r="O26" s="111">
        <f>12860+593000+589047+593000+593000+593000+555443+581140+593000+589046+395330</f>
        <v>5687866</v>
      </c>
      <c r="P26" s="111">
        <f>12860+593000+589047+593000+593000+593000+555443+581140+593000+589046+395330</f>
        <v>5687866</v>
      </c>
      <c r="Q26" s="111">
        <f>12860+593000+589047+593000+593000+593000+555443+581140+593000+589046+395330</f>
        <v>5687866</v>
      </c>
      <c r="R26" s="111">
        <f>12860+593000+589047+593000+593000+593000+555443+581140+593000+589046+395330</f>
        <v>5687866</v>
      </c>
      <c r="S26" s="115"/>
      <c r="T26" s="146">
        <f t="shared" si="3"/>
        <v>112134</v>
      </c>
      <c r="U26" s="110">
        <f t="shared" si="4"/>
        <v>0</v>
      </c>
      <c r="V26" s="110">
        <f t="shared" si="4"/>
        <v>0</v>
      </c>
      <c r="W26" s="147">
        <f t="shared" si="4"/>
        <v>0</v>
      </c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</row>
    <row r="27" spans="1:43" s="66" customFormat="1" ht="12.75">
      <c r="A27" s="109">
        <v>1</v>
      </c>
      <c r="B27" s="109">
        <v>0</v>
      </c>
      <c r="C27" s="109">
        <v>1</v>
      </c>
      <c r="D27" s="109">
        <v>5</v>
      </c>
      <c r="E27" s="109">
        <v>14</v>
      </c>
      <c r="F27" s="29" t="s">
        <v>60</v>
      </c>
      <c r="G27" s="110">
        <v>17183000</v>
      </c>
      <c r="H27" s="110"/>
      <c r="I27" s="324"/>
      <c r="J27" s="324">
        <v>5368394</v>
      </c>
      <c r="K27" s="118"/>
      <c r="L27" s="118"/>
      <c r="M27" s="111">
        <f t="shared" si="2"/>
        <v>22551394</v>
      </c>
      <c r="N27" s="111"/>
      <c r="O27" s="110">
        <f>21549163+252667+411560</f>
        <v>22213390</v>
      </c>
      <c r="P27" s="110">
        <f>21549163+252667+411560</f>
        <v>22213390</v>
      </c>
      <c r="Q27" s="110">
        <f>21549163+252667+411560</f>
        <v>22213390</v>
      </c>
      <c r="R27" s="110">
        <f>21549163+252667+411560</f>
        <v>22213390</v>
      </c>
      <c r="S27" s="115"/>
      <c r="T27" s="146">
        <f t="shared" si="3"/>
        <v>338004</v>
      </c>
      <c r="U27" s="110">
        <f t="shared" si="4"/>
        <v>0</v>
      </c>
      <c r="V27" s="110">
        <f t="shared" si="4"/>
        <v>0</v>
      </c>
      <c r="W27" s="147">
        <f t="shared" si="4"/>
        <v>0</v>
      </c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</row>
    <row r="28" spans="1:43" s="66" customFormat="1" ht="12.75">
      <c r="A28" s="109">
        <v>1</v>
      </c>
      <c r="B28" s="109">
        <v>0</v>
      </c>
      <c r="C28" s="109">
        <v>1</v>
      </c>
      <c r="D28" s="109">
        <v>5</v>
      </c>
      <c r="E28" s="109">
        <v>15</v>
      </c>
      <c r="F28" s="29" t="s">
        <v>61</v>
      </c>
      <c r="G28" s="110">
        <v>104952000</v>
      </c>
      <c r="H28" s="110"/>
      <c r="I28" s="324">
        <v>5368394</v>
      </c>
      <c r="J28" s="324">
        <f>17347903+5341710</f>
        <v>22689613</v>
      </c>
      <c r="K28" s="118"/>
      <c r="L28" s="118"/>
      <c r="M28" s="111">
        <f t="shared" si="2"/>
        <v>122273219</v>
      </c>
      <c r="N28" s="111"/>
      <c r="O28" s="111">
        <f>1626828+379040+215017+2077377+3974183+1367527+79591+112123024</f>
        <v>121842587</v>
      </c>
      <c r="P28" s="111">
        <f>1626828+379040+215017+2077377+3974183+1367527+79591+112123024</f>
        <v>121842587</v>
      </c>
      <c r="Q28" s="111">
        <f>1626828+379040+215017+2077377+3974183+1367527+79591+112123024</f>
        <v>121842587</v>
      </c>
      <c r="R28" s="111">
        <f>1626828+379040+215017+2077377+3974183+1367527+79591+112123024</f>
        <v>121842587</v>
      </c>
      <c r="S28" s="115"/>
      <c r="T28" s="146">
        <f t="shared" si="3"/>
        <v>430632</v>
      </c>
      <c r="U28" s="110">
        <f t="shared" si="4"/>
        <v>0</v>
      </c>
      <c r="V28" s="110">
        <f t="shared" si="4"/>
        <v>0</v>
      </c>
      <c r="W28" s="147">
        <f t="shared" si="4"/>
        <v>0</v>
      </c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</row>
    <row r="29" spans="1:43" s="66" customFormat="1" ht="12.75">
      <c r="A29" s="109">
        <v>1</v>
      </c>
      <c r="B29" s="109">
        <v>0</v>
      </c>
      <c r="C29" s="109">
        <v>1</v>
      </c>
      <c r="D29" s="109">
        <v>5</v>
      </c>
      <c r="E29" s="109">
        <v>16</v>
      </c>
      <c r="F29" s="29" t="s">
        <v>62</v>
      </c>
      <c r="G29" s="110">
        <v>218652000</v>
      </c>
      <c r="H29" s="110"/>
      <c r="I29" s="324"/>
      <c r="J29" s="324">
        <f>15991805+1521858</f>
        <v>17513663</v>
      </c>
      <c r="K29" s="118"/>
      <c r="L29" s="118"/>
      <c r="M29" s="111">
        <f t="shared" si="2"/>
        <v>236165663</v>
      </c>
      <c r="N29" s="111"/>
      <c r="O29" s="110">
        <f>169735+287400+1573141+1521858+85398+223976079</f>
        <v>227613611</v>
      </c>
      <c r="P29" s="110">
        <f>169735+287400+1573141+1521858+85398+223976079</f>
        <v>227613611</v>
      </c>
      <c r="Q29" s="110">
        <f>169735+287400+1573141+1521858+85398+223976079</f>
        <v>227613611</v>
      </c>
      <c r="R29" s="110">
        <f>169735+287400+1573141+1521858+85398+223976079</f>
        <v>227613611</v>
      </c>
      <c r="S29" s="115"/>
      <c r="T29" s="146">
        <f t="shared" si="3"/>
        <v>8552052</v>
      </c>
      <c r="U29" s="110">
        <f t="shared" si="4"/>
        <v>0</v>
      </c>
      <c r="V29" s="110">
        <f t="shared" si="4"/>
        <v>0</v>
      </c>
      <c r="W29" s="147">
        <f t="shared" si="4"/>
        <v>0</v>
      </c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</row>
    <row r="30" spans="1:43" s="66" customFormat="1" ht="12.75">
      <c r="A30" s="109">
        <v>1</v>
      </c>
      <c r="B30" s="109">
        <v>0</v>
      </c>
      <c r="C30" s="109">
        <v>1</v>
      </c>
      <c r="D30" s="109">
        <v>5</v>
      </c>
      <c r="E30" s="109">
        <v>47</v>
      </c>
      <c r="F30" s="29" t="s">
        <v>63</v>
      </c>
      <c r="G30" s="110">
        <v>48560000</v>
      </c>
      <c r="H30" s="110"/>
      <c r="I30" s="324">
        <v>4632810</v>
      </c>
      <c r="J30" s="324"/>
      <c r="K30" s="118"/>
      <c r="L30" s="118"/>
      <c r="M30" s="111">
        <f t="shared" si="2"/>
        <v>43927190</v>
      </c>
      <c r="N30" s="111"/>
      <c r="O30" s="110">
        <f>4409257+4986648+4502530+4502530+4502530+4502530+4502530+4502530+4502530+3001689</f>
        <v>43915304</v>
      </c>
      <c r="P30" s="110">
        <f>4409257+4986648+4502530+4502530+4502530+4502530+4502530+4502530+4502530+3001689</f>
        <v>43915304</v>
      </c>
      <c r="Q30" s="110">
        <f>4409257+4986648+4502530+4502530+4502530+4502530+4502530+4502530+4502530+3001689</f>
        <v>43915304</v>
      </c>
      <c r="R30" s="110">
        <f>4409257+4986648+4502530+4502530+4502530+4502530+4502530+4502530+4502530+3001689</f>
        <v>43915304</v>
      </c>
      <c r="S30" s="115"/>
      <c r="T30" s="146">
        <f t="shared" si="3"/>
        <v>11886</v>
      </c>
      <c r="U30" s="110">
        <f t="shared" si="4"/>
        <v>0</v>
      </c>
      <c r="V30" s="110">
        <f t="shared" si="4"/>
        <v>0</v>
      </c>
      <c r="W30" s="147">
        <f t="shared" si="4"/>
        <v>0</v>
      </c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</row>
    <row r="31" spans="1:43" s="66" customFormat="1" ht="12.75">
      <c r="A31" s="109"/>
      <c r="B31" s="109"/>
      <c r="C31" s="109"/>
      <c r="D31" s="109"/>
      <c r="E31" s="109"/>
      <c r="F31" s="29"/>
      <c r="G31" s="110"/>
      <c r="H31" s="110"/>
      <c r="I31" s="324"/>
      <c r="J31" s="324"/>
      <c r="K31" s="118"/>
      <c r="L31" s="118"/>
      <c r="M31" s="111"/>
      <c r="N31" s="111"/>
      <c r="O31" s="111"/>
      <c r="P31" s="111"/>
      <c r="Q31" s="111"/>
      <c r="R31" s="111"/>
      <c r="S31" s="115"/>
      <c r="T31" s="144"/>
      <c r="U31" s="111"/>
      <c r="V31" s="111"/>
      <c r="W31" s="145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</row>
    <row r="32" spans="1:43" s="66" customFormat="1" ht="24">
      <c r="A32" s="51">
        <v>1</v>
      </c>
      <c r="B32" s="51">
        <v>0</v>
      </c>
      <c r="C32" s="51">
        <v>1</v>
      </c>
      <c r="D32" s="51">
        <v>8</v>
      </c>
      <c r="E32" s="51"/>
      <c r="F32" s="24" t="s">
        <v>26</v>
      </c>
      <c r="G32" s="108">
        <f>+G33</f>
        <v>296048000</v>
      </c>
      <c r="H32" s="108"/>
      <c r="I32" s="108">
        <f>+I33</f>
        <v>296048000</v>
      </c>
      <c r="J32" s="108">
        <f>+J33</f>
        <v>0</v>
      </c>
      <c r="K32" s="114"/>
      <c r="L32" s="114"/>
      <c r="M32" s="186">
        <f>+G32+J32+L32-K32-I32</f>
        <v>0</v>
      </c>
      <c r="N32" s="112"/>
      <c r="O32" s="112">
        <f>+O33</f>
        <v>0</v>
      </c>
      <c r="P32" s="112">
        <f>+P33</f>
        <v>0</v>
      </c>
      <c r="Q32" s="112">
        <f>+Q33</f>
        <v>0</v>
      </c>
      <c r="R32" s="112">
        <f>+R33</f>
        <v>0</v>
      </c>
      <c r="S32" s="115"/>
      <c r="T32" s="142">
        <f>+M32-O32</f>
        <v>0</v>
      </c>
      <c r="U32" s="112">
        <f aca="true" t="shared" si="5" ref="U32:W33">+O32-P32</f>
        <v>0</v>
      </c>
      <c r="V32" s="112">
        <f t="shared" si="5"/>
        <v>0</v>
      </c>
      <c r="W32" s="143">
        <f t="shared" si="5"/>
        <v>0</v>
      </c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</row>
    <row r="33" spans="1:43" s="66" customFormat="1" ht="12.75">
      <c r="A33" s="109">
        <v>1</v>
      </c>
      <c r="B33" s="109">
        <v>0</v>
      </c>
      <c r="C33" s="109">
        <v>1</v>
      </c>
      <c r="D33" s="109">
        <v>8</v>
      </c>
      <c r="E33" s="109">
        <v>1</v>
      </c>
      <c r="F33" s="29" t="s">
        <v>21</v>
      </c>
      <c r="G33" s="110">
        <v>296048000</v>
      </c>
      <c r="H33" s="110"/>
      <c r="I33" s="324">
        <v>296048000</v>
      </c>
      <c r="J33" s="324"/>
      <c r="K33" s="118"/>
      <c r="L33" s="118"/>
      <c r="M33" s="111">
        <f>+G33+J33+L33-K33-I33</f>
        <v>0</v>
      </c>
      <c r="N33" s="111"/>
      <c r="O33" s="110">
        <v>0</v>
      </c>
      <c r="P33" s="110">
        <v>0</v>
      </c>
      <c r="Q33" s="110">
        <v>0</v>
      </c>
      <c r="R33" s="110">
        <v>0</v>
      </c>
      <c r="S33" s="115"/>
      <c r="T33" s="146">
        <f>+M33-O33</f>
        <v>0</v>
      </c>
      <c r="U33" s="110">
        <f t="shared" si="5"/>
        <v>0</v>
      </c>
      <c r="V33" s="110">
        <f t="shared" si="5"/>
        <v>0</v>
      </c>
      <c r="W33" s="147">
        <f t="shared" si="5"/>
        <v>0</v>
      </c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</row>
    <row r="34" spans="1:43" s="66" customFormat="1" ht="12.75">
      <c r="A34" s="109"/>
      <c r="B34" s="109"/>
      <c r="C34" s="109"/>
      <c r="D34" s="109"/>
      <c r="E34" s="109"/>
      <c r="F34" s="29"/>
      <c r="G34" s="110"/>
      <c r="H34" s="110"/>
      <c r="I34" s="324"/>
      <c r="J34" s="324"/>
      <c r="K34" s="118"/>
      <c r="L34" s="118"/>
      <c r="M34" s="111"/>
      <c r="N34" s="111"/>
      <c r="O34" s="111"/>
      <c r="P34" s="111"/>
      <c r="Q34" s="111"/>
      <c r="R34" s="111"/>
      <c r="S34" s="115"/>
      <c r="T34" s="144"/>
      <c r="U34" s="111"/>
      <c r="V34" s="111"/>
      <c r="W34" s="145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</row>
    <row r="35" spans="1:43" s="66" customFormat="1" ht="24">
      <c r="A35" s="106">
        <v>1</v>
      </c>
      <c r="B35" s="106">
        <v>0</v>
      </c>
      <c r="C35" s="106">
        <v>1</v>
      </c>
      <c r="D35" s="106">
        <v>9</v>
      </c>
      <c r="E35" s="106"/>
      <c r="F35" s="24" t="s">
        <v>27</v>
      </c>
      <c r="G35" s="108">
        <f>+G36+G37</f>
        <v>6053580</v>
      </c>
      <c r="H35" s="108"/>
      <c r="I35" s="108">
        <v>0</v>
      </c>
      <c r="J35" s="108">
        <v>0</v>
      </c>
      <c r="K35" s="114">
        <f>+K36+K37</f>
        <v>0</v>
      </c>
      <c r="L35" s="114">
        <f>+L36+L37</f>
        <v>0</v>
      </c>
      <c r="M35" s="186">
        <f>SUM(M36:M37)</f>
        <v>22338735</v>
      </c>
      <c r="N35" s="116"/>
      <c r="O35" s="108">
        <f>+O36+O37</f>
        <v>21905205</v>
      </c>
      <c r="P35" s="108">
        <f>+P36+P37</f>
        <v>21905205</v>
      </c>
      <c r="Q35" s="108">
        <f>+Q36+Q37</f>
        <v>21905205</v>
      </c>
      <c r="R35" s="108">
        <f>+R36+R37</f>
        <v>21864029</v>
      </c>
      <c r="S35" s="115"/>
      <c r="T35" s="142">
        <f>+M35-O35</f>
        <v>433530</v>
      </c>
      <c r="U35" s="112">
        <f>+O35-P35</f>
        <v>0</v>
      </c>
      <c r="V35" s="112">
        <f>+P35-Q35</f>
        <v>0</v>
      </c>
      <c r="W35" s="143">
        <f>+Q35-R35</f>
        <v>41176</v>
      </c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</row>
    <row r="36" spans="1:43" s="66" customFormat="1" ht="12.75">
      <c r="A36" s="109">
        <v>1</v>
      </c>
      <c r="B36" s="109">
        <v>0</v>
      </c>
      <c r="C36" s="109">
        <v>1</v>
      </c>
      <c r="D36" s="109">
        <v>9</v>
      </c>
      <c r="E36" s="109">
        <v>1</v>
      </c>
      <c r="F36" s="29" t="s">
        <v>64</v>
      </c>
      <c r="G36" s="110">
        <v>6053580</v>
      </c>
      <c r="H36" s="110"/>
      <c r="I36" s="161">
        <f>703599+233249</f>
        <v>936848</v>
      </c>
      <c r="J36" s="161">
        <v>4745894</v>
      </c>
      <c r="K36" s="118"/>
      <c r="L36" s="118"/>
      <c r="M36" s="111">
        <f>+G36+J36+L36-K36-I36</f>
        <v>9862626</v>
      </c>
      <c r="N36" s="111"/>
      <c r="O36" s="110">
        <f>797031+1047500+898079+1000267+854207+752897+988233+1038612+1069776+982494</f>
        <v>9429096</v>
      </c>
      <c r="P36" s="110">
        <f>797031+1047500+898079+1000267+854207+752897+988233+1038612+1069776+982494</f>
        <v>9429096</v>
      </c>
      <c r="Q36" s="110">
        <f>797031+1047500+898079+1000267+854207+752897+988233+1038612+1069776+982494</f>
        <v>9429096</v>
      </c>
      <c r="R36" s="110">
        <f>797031+1047500+898079+1000267+854207+752897+988233+1038612+1069776+982494</f>
        <v>9429096</v>
      </c>
      <c r="S36" s="115"/>
      <c r="T36" s="146">
        <f>+M36-O36</f>
        <v>433530</v>
      </c>
      <c r="U36" s="110">
        <f aca="true" t="shared" si="6" ref="U36:W37">+O36-P36</f>
        <v>0</v>
      </c>
      <c r="V36" s="110">
        <f t="shared" si="6"/>
        <v>0</v>
      </c>
      <c r="W36" s="147">
        <f t="shared" si="6"/>
        <v>0</v>
      </c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</row>
    <row r="37" spans="1:43" s="66" customFormat="1" ht="12.75">
      <c r="A37" s="109">
        <v>1</v>
      </c>
      <c r="B37" s="109">
        <v>0</v>
      </c>
      <c r="C37" s="109">
        <v>1</v>
      </c>
      <c r="D37" s="109">
        <v>9</v>
      </c>
      <c r="E37" s="109">
        <v>3</v>
      </c>
      <c r="F37" s="29" t="s">
        <v>65</v>
      </c>
      <c r="G37" s="110"/>
      <c r="H37" s="110"/>
      <c r="I37" s="324"/>
      <c r="J37" s="161">
        <f>8714126+703599+2825135+233249</f>
        <v>12476109</v>
      </c>
      <c r="K37" s="118"/>
      <c r="L37" s="118"/>
      <c r="M37" s="111">
        <f>+G37+J37+L37-K37-I37</f>
        <v>12476109</v>
      </c>
      <c r="N37" s="111"/>
      <c r="O37" s="110">
        <f>8714126+703599+2825135+233249</f>
        <v>12476109</v>
      </c>
      <c r="P37" s="110">
        <f>8714126+703599+2825135+233249</f>
        <v>12476109</v>
      </c>
      <c r="Q37" s="110">
        <f>8714126+703599+2825135+233249</f>
        <v>12476109</v>
      </c>
      <c r="R37" s="110">
        <f>8714126+525016+2048407+914135+233249</f>
        <v>12434933</v>
      </c>
      <c r="S37" s="115"/>
      <c r="T37" s="148">
        <f>+M37-O37</f>
        <v>0</v>
      </c>
      <c r="U37" s="110">
        <f t="shared" si="6"/>
        <v>0</v>
      </c>
      <c r="V37" s="110">
        <f t="shared" si="6"/>
        <v>0</v>
      </c>
      <c r="W37" s="147">
        <f t="shared" si="6"/>
        <v>41176</v>
      </c>
      <c r="Y37" s="336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</row>
    <row r="38" spans="1:43" s="66" customFormat="1" ht="12.75">
      <c r="A38" s="109"/>
      <c r="B38" s="109"/>
      <c r="C38" s="109"/>
      <c r="D38" s="109"/>
      <c r="E38" s="109"/>
      <c r="F38" s="29"/>
      <c r="G38" s="110"/>
      <c r="H38" s="110"/>
      <c r="I38" s="324"/>
      <c r="J38" s="324"/>
      <c r="K38" s="118"/>
      <c r="L38" s="118"/>
      <c r="M38" s="111"/>
      <c r="N38" s="111"/>
      <c r="O38" s="111"/>
      <c r="P38" s="111"/>
      <c r="Q38" s="111"/>
      <c r="R38" s="111"/>
      <c r="S38" s="115"/>
      <c r="T38" s="144"/>
      <c r="U38" s="111"/>
      <c r="V38" s="111"/>
      <c r="W38" s="145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</row>
    <row r="39" spans="1:43" s="61" customFormat="1" ht="12.75">
      <c r="A39" s="106">
        <v>1</v>
      </c>
      <c r="B39" s="106">
        <v>0</v>
      </c>
      <c r="C39" s="106">
        <v>2</v>
      </c>
      <c r="D39" s="106"/>
      <c r="E39" s="106"/>
      <c r="F39" s="24" t="s">
        <v>28</v>
      </c>
      <c r="G39" s="108">
        <f>+G40</f>
        <v>60000000</v>
      </c>
      <c r="H39" s="108"/>
      <c r="I39" s="108">
        <f>+I40</f>
        <v>0</v>
      </c>
      <c r="J39" s="108">
        <f>+J40</f>
        <v>0</v>
      </c>
      <c r="K39" s="114"/>
      <c r="L39" s="114"/>
      <c r="M39" s="186">
        <f>+G39+J39+L39-K39-I39</f>
        <v>60000000</v>
      </c>
      <c r="N39" s="112"/>
      <c r="O39" s="112">
        <f>+O40</f>
        <v>59400000</v>
      </c>
      <c r="P39" s="112">
        <f>+P40</f>
        <v>59400000</v>
      </c>
      <c r="Q39" s="112">
        <f>+Q40</f>
        <v>59400000</v>
      </c>
      <c r="R39" s="112">
        <f>+R40</f>
        <v>59400000</v>
      </c>
      <c r="S39" s="117"/>
      <c r="T39" s="142">
        <f>+M39-O39</f>
        <v>600000</v>
      </c>
      <c r="U39" s="112">
        <f aca="true" t="shared" si="7" ref="U39:W40">+O39-P39</f>
        <v>0</v>
      </c>
      <c r="V39" s="112">
        <f t="shared" si="7"/>
        <v>0</v>
      </c>
      <c r="W39" s="143">
        <f t="shared" si="7"/>
        <v>0</v>
      </c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</row>
    <row r="40" spans="1:43" s="66" customFormat="1" ht="12.75">
      <c r="A40" s="109">
        <v>1</v>
      </c>
      <c r="B40" s="109">
        <v>0</v>
      </c>
      <c r="C40" s="109">
        <v>2</v>
      </c>
      <c r="D40" s="109">
        <v>14</v>
      </c>
      <c r="E40" s="109"/>
      <c r="F40" s="29" t="s">
        <v>66</v>
      </c>
      <c r="G40" s="110">
        <v>60000000</v>
      </c>
      <c r="H40" s="110"/>
      <c r="I40" s="324"/>
      <c r="J40" s="324"/>
      <c r="K40" s="118"/>
      <c r="L40" s="118"/>
      <c r="M40" s="111">
        <f>+G40+J40+L40-K40-I40</f>
        <v>60000000</v>
      </c>
      <c r="N40" s="111"/>
      <c r="O40" s="111">
        <f>17100000+17100000+18000000+1800000+5400000</f>
        <v>59400000</v>
      </c>
      <c r="P40" s="111">
        <f>17100000+17100000+18000000+1800000+5400000</f>
        <v>59400000</v>
      </c>
      <c r="Q40" s="110">
        <f>1800000+7600000+7400000+7400000+5600000+9200000+7400000+7400000+5600000</f>
        <v>59400000</v>
      </c>
      <c r="R40" s="110">
        <f>1800000+7600000+7400000+7400000+5600000+9200000+7400000+7400000+5600000</f>
        <v>59400000</v>
      </c>
      <c r="S40" s="115"/>
      <c r="T40" s="146">
        <f>+M40-O40</f>
        <v>600000</v>
      </c>
      <c r="U40" s="110">
        <f>+O40-P40</f>
        <v>0</v>
      </c>
      <c r="V40" s="119">
        <f t="shared" si="7"/>
        <v>0</v>
      </c>
      <c r="W40" s="147">
        <f t="shared" si="7"/>
        <v>0</v>
      </c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</row>
    <row r="41" spans="1:43" s="66" customFormat="1" ht="12.75">
      <c r="A41" s="109"/>
      <c r="B41" s="109"/>
      <c r="C41" s="109"/>
      <c r="D41" s="109"/>
      <c r="E41" s="109"/>
      <c r="F41" s="29"/>
      <c r="G41" s="110"/>
      <c r="H41" s="110"/>
      <c r="I41" s="324"/>
      <c r="J41" s="324"/>
      <c r="K41" s="118"/>
      <c r="L41" s="118"/>
      <c r="M41" s="111"/>
      <c r="N41" s="111"/>
      <c r="O41" s="111"/>
      <c r="P41" s="111"/>
      <c r="Q41" s="111"/>
      <c r="R41" s="111"/>
      <c r="S41" s="115"/>
      <c r="T41" s="144"/>
      <c r="U41" s="111"/>
      <c r="V41" s="111"/>
      <c r="W41" s="145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  <c r="AL41" s="291"/>
      <c r="AM41" s="291"/>
      <c r="AN41" s="291"/>
      <c r="AO41" s="291"/>
      <c r="AP41" s="291"/>
      <c r="AQ41" s="291"/>
    </row>
    <row r="42" spans="1:43" s="61" customFormat="1" ht="24">
      <c r="A42" s="106">
        <v>1</v>
      </c>
      <c r="B42" s="106">
        <v>0</v>
      </c>
      <c r="C42" s="106">
        <v>5</v>
      </c>
      <c r="D42" s="106"/>
      <c r="E42" s="106"/>
      <c r="F42" s="24" t="s">
        <v>29</v>
      </c>
      <c r="G42" s="108">
        <f>SUM(G44:G47)</f>
        <v>817881000</v>
      </c>
      <c r="H42" s="108"/>
      <c r="I42" s="108">
        <v>0</v>
      </c>
      <c r="J42" s="108">
        <f>SUM(J44:J47)</f>
        <v>36175216</v>
      </c>
      <c r="K42" s="108">
        <f>SUM(K44:K47)</f>
        <v>0</v>
      </c>
      <c r="L42" s="108">
        <f>SUM(L44:L47)</f>
        <v>0</v>
      </c>
      <c r="M42" s="186">
        <f>SUM(M44:M47)</f>
        <v>842516955</v>
      </c>
      <c r="N42" s="112"/>
      <c r="O42" s="121">
        <f>SUM(O44:O47)</f>
        <v>838572355</v>
      </c>
      <c r="P42" s="121">
        <f>SUM(P44:P47)</f>
        <v>838572355</v>
      </c>
      <c r="Q42" s="121">
        <f>SUM(Q44:Q47)</f>
        <v>838572355</v>
      </c>
      <c r="R42" s="121">
        <f>SUM(R44:R47)</f>
        <v>838572355</v>
      </c>
      <c r="S42" s="117"/>
      <c r="T42" s="142">
        <f>+M42-O42</f>
        <v>3944600</v>
      </c>
      <c r="U42" s="112">
        <f>+O42-P42</f>
        <v>0</v>
      </c>
      <c r="V42" s="112">
        <f>+P42-Q42</f>
        <v>0</v>
      </c>
      <c r="W42" s="143">
        <f>+Q42-R42</f>
        <v>0</v>
      </c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</row>
    <row r="43" spans="1:43" s="66" customFormat="1" ht="12.75">
      <c r="A43" s="106"/>
      <c r="B43" s="106"/>
      <c r="C43" s="106"/>
      <c r="D43" s="106"/>
      <c r="E43" s="106"/>
      <c r="F43" s="24"/>
      <c r="G43" s="108"/>
      <c r="H43" s="108"/>
      <c r="I43" s="324"/>
      <c r="J43" s="324"/>
      <c r="K43" s="118"/>
      <c r="L43" s="118"/>
      <c r="M43" s="111"/>
      <c r="N43" s="111"/>
      <c r="O43" s="111"/>
      <c r="P43" s="111"/>
      <c r="Q43" s="111"/>
      <c r="R43" s="111"/>
      <c r="S43" s="115"/>
      <c r="T43" s="144"/>
      <c r="U43" s="111"/>
      <c r="V43" s="111"/>
      <c r="W43" s="145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</row>
    <row r="44" spans="1:43" s="61" customFormat="1" ht="15.75" customHeight="1">
      <c r="A44" s="187">
        <v>1</v>
      </c>
      <c r="B44" s="187">
        <v>0</v>
      </c>
      <c r="C44" s="187">
        <v>5</v>
      </c>
      <c r="D44" s="187">
        <v>1</v>
      </c>
      <c r="E44" s="106"/>
      <c r="F44" s="32" t="s">
        <v>30</v>
      </c>
      <c r="G44" s="161">
        <v>417673000</v>
      </c>
      <c r="H44" s="108"/>
      <c r="I44" s="161">
        <v>8714126</v>
      </c>
      <c r="J44" s="110">
        <v>31375216</v>
      </c>
      <c r="K44" s="114"/>
      <c r="L44" s="114"/>
      <c r="M44" s="111">
        <f>+G44+J44+L44-K44-I44</f>
        <v>440334090</v>
      </c>
      <c r="N44" s="112"/>
      <c r="O44" s="110">
        <f>43419605+46152725+42740987+45832914+41825282+41972405+42057759+42506810+40986456+49131047</f>
        <v>436625990</v>
      </c>
      <c r="P44" s="110">
        <f>43419605+46152725+42740987+45832914+41825282+41972405+42057759+42506810+40986456+49131047</f>
        <v>436625990</v>
      </c>
      <c r="Q44" s="110">
        <f>43419605+46152725+42740987+45832914+41825282+41972405+42057759+42506810+40986456+49131047</f>
        <v>436625990</v>
      </c>
      <c r="R44" s="110">
        <f>43419605+46152725+42740987+45832914+83797687+84564569+40986456+49131047</f>
        <v>436625990</v>
      </c>
      <c r="S44" s="117"/>
      <c r="T44" s="146">
        <f>+M44-O44</f>
        <v>3708100</v>
      </c>
      <c r="U44" s="110">
        <f aca="true" t="shared" si="8" ref="U44:W47">+O44-P44</f>
        <v>0</v>
      </c>
      <c r="V44" s="110">
        <f t="shared" si="8"/>
        <v>0</v>
      </c>
      <c r="W44" s="147">
        <f t="shared" si="8"/>
        <v>0</v>
      </c>
      <c r="X44" s="93"/>
      <c r="Y44" s="93"/>
      <c r="Z44" s="93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</row>
    <row r="45" spans="1:43" s="61" customFormat="1" ht="15" customHeight="1">
      <c r="A45" s="187">
        <v>1</v>
      </c>
      <c r="B45" s="187">
        <v>0</v>
      </c>
      <c r="C45" s="187">
        <v>5</v>
      </c>
      <c r="D45" s="187">
        <v>2</v>
      </c>
      <c r="E45" s="106"/>
      <c r="F45" s="29" t="s">
        <v>31</v>
      </c>
      <c r="G45" s="110">
        <v>288983000</v>
      </c>
      <c r="H45" s="108"/>
      <c r="I45" s="110">
        <v>2825135</v>
      </c>
      <c r="J45" s="110">
        <v>0</v>
      </c>
      <c r="K45" s="114"/>
      <c r="L45" s="114"/>
      <c r="M45" s="111">
        <f>+G45+J45+L45-K45-I45</f>
        <v>286157865</v>
      </c>
      <c r="N45" s="112"/>
      <c r="O45" s="110">
        <f>10555200+32086556+31158722+38414400+29854818+30505422+31670755+31513323+30791627+19607042</f>
        <v>286157865</v>
      </c>
      <c r="P45" s="110">
        <f>10555200+32086556+31158722+38414400+29854818+30505422+31670755+31513323+30791627+19607042</f>
        <v>286157865</v>
      </c>
      <c r="Q45" s="110">
        <f>10555200+32086556+31158722+38414400+29854818+30505422+31670755+31513323+30791627+19607042</f>
        <v>286157865</v>
      </c>
      <c r="R45" s="110">
        <f>10555200+32086556+31158722+38414400+60360240+63184078+30791627+19607042</f>
        <v>286157865</v>
      </c>
      <c r="S45" s="117"/>
      <c r="T45" s="146">
        <f>+M45-O45</f>
        <v>0</v>
      </c>
      <c r="U45" s="110">
        <f t="shared" si="8"/>
        <v>0</v>
      </c>
      <c r="V45" s="110">
        <f t="shared" si="8"/>
        <v>0</v>
      </c>
      <c r="W45" s="147">
        <f t="shared" si="8"/>
        <v>0</v>
      </c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</row>
    <row r="46" spans="1:43" s="66" customFormat="1" ht="12.75">
      <c r="A46" s="187">
        <v>1</v>
      </c>
      <c r="B46" s="187">
        <v>0</v>
      </c>
      <c r="C46" s="187">
        <v>5</v>
      </c>
      <c r="D46" s="187">
        <v>6</v>
      </c>
      <c r="E46" s="23"/>
      <c r="F46" s="29" t="s">
        <v>67</v>
      </c>
      <c r="G46" s="110">
        <v>66735000</v>
      </c>
      <c r="H46" s="110"/>
      <c r="I46" s="108"/>
      <c r="J46" s="110">
        <v>0</v>
      </c>
      <c r="K46" s="114"/>
      <c r="L46" s="114"/>
      <c r="M46" s="111">
        <f>+G46+J46+L46-K46-I46</f>
        <v>66735000</v>
      </c>
      <c r="N46" s="112"/>
      <c r="O46" s="110">
        <f>3837500+7423600+6770100+9524800+6449300+6520400+6809000+6714700+6465500+6220100</f>
        <v>66735000</v>
      </c>
      <c r="P46" s="110">
        <f>3837500+7423600+6770100+9524800+6449300+6520400+6809000+6714700+6465500+6220100</f>
        <v>66735000</v>
      </c>
      <c r="Q46" s="110">
        <f>3837500+7423600+6770100+9524800+6449300+6520400+6809000+6714700+6465500+6220100</f>
        <v>66735000</v>
      </c>
      <c r="R46" s="110">
        <f>3837500+7423600+6770100+9524800+12969700+13523700+6465500+6220100</f>
        <v>66735000</v>
      </c>
      <c r="S46" s="115"/>
      <c r="T46" s="146">
        <f>+M46-O46</f>
        <v>0</v>
      </c>
      <c r="U46" s="110">
        <f t="shared" si="8"/>
        <v>0</v>
      </c>
      <c r="V46" s="110">
        <f t="shared" si="8"/>
        <v>0</v>
      </c>
      <c r="W46" s="147">
        <f t="shared" si="8"/>
        <v>0</v>
      </c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291"/>
    </row>
    <row r="47" spans="1:43" s="66" customFormat="1" ht="12.75">
      <c r="A47" s="187">
        <v>1</v>
      </c>
      <c r="B47" s="187">
        <v>0</v>
      </c>
      <c r="C47" s="187">
        <v>5</v>
      </c>
      <c r="D47" s="187">
        <v>7</v>
      </c>
      <c r="E47" s="23"/>
      <c r="F47" s="29" t="s">
        <v>68</v>
      </c>
      <c r="G47" s="110">
        <v>44490000</v>
      </c>
      <c r="H47" s="110"/>
      <c r="I47" s="108"/>
      <c r="J47" s="110">
        <v>4800000</v>
      </c>
      <c r="K47" s="114"/>
      <c r="L47" s="114"/>
      <c r="M47" s="111">
        <f>+G47+J47+L47-K47-I47</f>
        <v>49290000</v>
      </c>
      <c r="N47" s="112"/>
      <c r="O47" s="110">
        <f>2559900+4948800+4513200+6349300+4299300+4346500+4539100+4476500+4310000+8710900</f>
        <v>49053500</v>
      </c>
      <c r="P47" s="110">
        <f>2559900+4948800+4513200+6349300+4299300+4346500+4539100+4476500+4310000+8710900</f>
        <v>49053500</v>
      </c>
      <c r="Q47" s="110">
        <f>2559900+4948800+4513200+6349300+4299300+4346500+4539100+4476500+4310000+8710900</f>
        <v>49053500</v>
      </c>
      <c r="R47" s="110">
        <f>2559900+4948800+4513200+6349300+8645800+9015600+4310000+8710900</f>
        <v>49053500</v>
      </c>
      <c r="S47" s="115"/>
      <c r="T47" s="146">
        <f>+M47-O47</f>
        <v>236500</v>
      </c>
      <c r="U47" s="110">
        <f t="shared" si="8"/>
        <v>0</v>
      </c>
      <c r="V47" s="110">
        <f t="shared" si="8"/>
        <v>0</v>
      </c>
      <c r="W47" s="147">
        <f t="shared" si="8"/>
        <v>0</v>
      </c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</row>
    <row r="48" spans="1:43" s="66" customFormat="1" ht="12.75">
      <c r="A48" s="23"/>
      <c r="B48" s="23"/>
      <c r="C48" s="23"/>
      <c r="D48" s="23"/>
      <c r="E48" s="23"/>
      <c r="F48" s="23"/>
      <c r="G48" s="110"/>
      <c r="H48" s="110"/>
      <c r="I48" s="108"/>
      <c r="J48" s="108"/>
      <c r="K48" s="114"/>
      <c r="L48" s="114"/>
      <c r="M48" s="112"/>
      <c r="N48" s="112"/>
      <c r="O48" s="112"/>
      <c r="P48" s="112"/>
      <c r="Q48" s="112"/>
      <c r="R48" s="112"/>
      <c r="S48" s="115"/>
      <c r="T48" s="142"/>
      <c r="U48" s="112"/>
      <c r="V48" s="112"/>
      <c r="W48" s="143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  <c r="AL48" s="291"/>
      <c r="AM48" s="291"/>
      <c r="AN48" s="291"/>
      <c r="AO48" s="291"/>
      <c r="AP48" s="291"/>
      <c r="AQ48" s="291"/>
    </row>
    <row r="49" spans="1:43" s="61" customFormat="1" ht="12.75">
      <c r="A49" s="106">
        <v>2</v>
      </c>
      <c r="B49" s="106">
        <v>0</v>
      </c>
      <c r="C49" s="106"/>
      <c r="D49" s="106"/>
      <c r="E49" s="106"/>
      <c r="F49" s="24" t="s">
        <v>32</v>
      </c>
      <c r="G49" s="108">
        <f>+G51+G54</f>
        <v>1266864500</v>
      </c>
      <c r="H49" s="108"/>
      <c r="I49" s="108">
        <v>0</v>
      </c>
      <c r="J49" s="108">
        <v>0</v>
      </c>
      <c r="K49" s="114">
        <f>+K51+K54</f>
        <v>0</v>
      </c>
      <c r="L49" s="114">
        <f>+L51+L54</f>
        <v>0</v>
      </c>
      <c r="M49" s="186">
        <f>M51+M54</f>
        <v>1266864500</v>
      </c>
      <c r="N49" s="112"/>
      <c r="O49" s="112">
        <f>+O51+O54</f>
        <v>1188681111</v>
      </c>
      <c r="P49" s="112">
        <f>+P51+P54</f>
        <v>1178895996</v>
      </c>
      <c r="Q49" s="112">
        <f>+Q51+Q54</f>
        <v>1174085584</v>
      </c>
      <c r="R49" s="112">
        <f>+R51+R54</f>
        <v>1174085584</v>
      </c>
      <c r="S49" s="117"/>
      <c r="T49" s="142">
        <f>+M49-O49</f>
        <v>78183389</v>
      </c>
      <c r="U49" s="112">
        <f>+O49-P49</f>
        <v>9785115</v>
      </c>
      <c r="V49" s="112">
        <f>+P49-Q49</f>
        <v>4810412</v>
      </c>
      <c r="W49" s="143">
        <f>+Q49-R49</f>
        <v>0</v>
      </c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</row>
    <row r="50" spans="1:43" s="66" customFormat="1" ht="12.75">
      <c r="A50" s="106"/>
      <c r="B50" s="106"/>
      <c r="C50" s="106"/>
      <c r="D50" s="106"/>
      <c r="E50" s="106"/>
      <c r="F50" s="24"/>
      <c r="G50" s="108"/>
      <c r="H50" s="108"/>
      <c r="I50" s="108"/>
      <c r="J50" s="108"/>
      <c r="K50" s="114"/>
      <c r="L50" s="114"/>
      <c r="M50" s="112"/>
      <c r="N50" s="112"/>
      <c r="O50" s="112"/>
      <c r="P50" s="112"/>
      <c r="Q50" s="112" t="s">
        <v>86</v>
      </c>
      <c r="R50" s="112"/>
      <c r="S50" s="115"/>
      <c r="T50" s="142"/>
      <c r="U50" s="112"/>
      <c r="V50" s="112"/>
      <c r="W50" s="143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</row>
    <row r="51" spans="1:43" s="61" customFormat="1" ht="12.75">
      <c r="A51" s="106">
        <v>2</v>
      </c>
      <c r="B51" s="106">
        <v>0</v>
      </c>
      <c r="C51" s="106">
        <v>3</v>
      </c>
      <c r="D51" s="106"/>
      <c r="E51" s="106"/>
      <c r="F51" s="24" t="s">
        <v>90</v>
      </c>
      <c r="G51" s="108">
        <f>+G52</f>
        <v>20105800</v>
      </c>
      <c r="H51" s="108"/>
      <c r="I51" s="108">
        <f>+I52</f>
        <v>0</v>
      </c>
      <c r="J51" s="108">
        <v>0</v>
      </c>
      <c r="K51" s="114"/>
      <c r="L51" s="114"/>
      <c r="M51" s="186">
        <f>SUM(M52)</f>
        <v>22965300</v>
      </c>
      <c r="N51" s="112"/>
      <c r="O51" s="112">
        <f>+O52</f>
        <v>22826300</v>
      </c>
      <c r="P51" s="112">
        <f>+P52</f>
        <v>22826300</v>
      </c>
      <c r="Q51" s="112">
        <f>+Q52</f>
        <v>22826300</v>
      </c>
      <c r="R51" s="112">
        <f>+R52</f>
        <v>22826300</v>
      </c>
      <c r="S51" s="117"/>
      <c r="T51" s="142">
        <f>+M51-O51</f>
        <v>139000</v>
      </c>
      <c r="U51" s="112">
        <f aca="true" t="shared" si="9" ref="U51:W52">+O51-P51</f>
        <v>0</v>
      </c>
      <c r="V51" s="112">
        <f t="shared" si="9"/>
        <v>0</v>
      </c>
      <c r="W51" s="143">
        <f t="shared" si="9"/>
        <v>0</v>
      </c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</row>
    <row r="52" spans="1:43" s="66" customFormat="1" ht="12.75">
      <c r="A52" s="109">
        <v>2</v>
      </c>
      <c r="B52" s="109">
        <v>0</v>
      </c>
      <c r="C52" s="109">
        <v>3</v>
      </c>
      <c r="D52" s="109">
        <v>50</v>
      </c>
      <c r="E52" s="109"/>
      <c r="F52" s="29" t="s">
        <v>69</v>
      </c>
      <c r="G52" s="110">
        <v>20105800</v>
      </c>
      <c r="H52" s="110"/>
      <c r="I52" s="324"/>
      <c r="J52" s="324">
        <f>2559500+300000</f>
        <v>2859500</v>
      </c>
      <c r="K52" s="118"/>
      <c r="L52" s="118"/>
      <c r="M52" s="111">
        <f>+G52+J52+L52-K52-I52</f>
        <v>22965300</v>
      </c>
      <c r="N52" s="111"/>
      <c r="O52" s="110">
        <f>725300+13705000+8235000+161000</f>
        <v>22826300</v>
      </c>
      <c r="P52" s="110">
        <f>725300+13705000+8235000+161000</f>
        <v>22826300</v>
      </c>
      <c r="Q52" s="110">
        <f>725300+13705000+7732000+664000</f>
        <v>22826300</v>
      </c>
      <c r="R52" s="110">
        <f>725300+13705000+7732000+664000</f>
        <v>22826300</v>
      </c>
      <c r="S52" s="115"/>
      <c r="T52" s="146">
        <f>+M52-O52</f>
        <v>139000</v>
      </c>
      <c r="U52" s="110">
        <f t="shared" si="9"/>
        <v>0</v>
      </c>
      <c r="V52" s="110">
        <f t="shared" si="9"/>
        <v>0</v>
      </c>
      <c r="W52" s="147">
        <f t="shared" si="9"/>
        <v>0</v>
      </c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  <c r="AL52" s="291"/>
      <c r="AM52" s="291"/>
      <c r="AN52" s="291"/>
      <c r="AO52" s="291"/>
      <c r="AP52" s="291"/>
      <c r="AQ52" s="291"/>
    </row>
    <row r="53" spans="1:43" s="66" customFormat="1" ht="12.75">
      <c r="A53" s="109"/>
      <c r="B53" s="109"/>
      <c r="C53" s="109"/>
      <c r="D53" s="109"/>
      <c r="E53" s="109"/>
      <c r="F53" s="29"/>
      <c r="G53" s="110"/>
      <c r="H53" s="110"/>
      <c r="I53" s="110"/>
      <c r="J53" s="110"/>
      <c r="K53" s="122"/>
      <c r="L53" s="122"/>
      <c r="M53" s="119"/>
      <c r="N53" s="119"/>
      <c r="O53" s="119"/>
      <c r="P53" s="119"/>
      <c r="Q53" s="119"/>
      <c r="R53" s="119"/>
      <c r="S53" s="115"/>
      <c r="T53" s="146"/>
      <c r="U53" s="119"/>
      <c r="V53" s="119"/>
      <c r="W53" s="149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</row>
    <row r="54" spans="1:43" s="61" customFormat="1" ht="12.75">
      <c r="A54" s="106">
        <v>2</v>
      </c>
      <c r="B54" s="106">
        <v>0</v>
      </c>
      <c r="C54" s="106">
        <v>4</v>
      </c>
      <c r="D54" s="106"/>
      <c r="E54" s="106"/>
      <c r="F54" s="24" t="s">
        <v>34</v>
      </c>
      <c r="G54" s="108">
        <f>SUM(G56:G69)</f>
        <v>1246758700</v>
      </c>
      <c r="H54" s="108"/>
      <c r="I54" s="108">
        <v>0</v>
      </c>
      <c r="J54" s="108">
        <f>SUM(J56:J70)</f>
        <v>0</v>
      </c>
      <c r="K54" s="114">
        <f>SUM(K56:K70)</f>
        <v>0</v>
      </c>
      <c r="L54" s="114">
        <f>SUM(L56:L70)</f>
        <v>0</v>
      </c>
      <c r="M54" s="186">
        <f>SUM(M55:M69)</f>
        <v>1243899200</v>
      </c>
      <c r="N54" s="112"/>
      <c r="O54" s="112">
        <f>SUM(O56:O69)</f>
        <v>1165854811</v>
      </c>
      <c r="P54" s="112">
        <f>SUM(P56:P69)</f>
        <v>1156069696</v>
      </c>
      <c r="Q54" s="112">
        <f>SUM(Q56:Q69)</f>
        <v>1151259284</v>
      </c>
      <c r="R54" s="112">
        <f>SUM(R56:R69)</f>
        <v>1151259284</v>
      </c>
      <c r="S54" s="117"/>
      <c r="T54" s="142">
        <f>+M54-O54</f>
        <v>78044389</v>
      </c>
      <c r="U54" s="112">
        <f>SUM(U56:U69)</f>
        <v>9785115</v>
      </c>
      <c r="V54" s="112">
        <f>SUM(V56:V69)</f>
        <v>4810412</v>
      </c>
      <c r="W54" s="143">
        <f>SUM(W56:W69)</f>
        <v>0</v>
      </c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</row>
    <row r="55" spans="1:43" s="61" customFormat="1" ht="12.75">
      <c r="A55" s="106"/>
      <c r="B55" s="106"/>
      <c r="C55" s="106"/>
      <c r="D55" s="106"/>
      <c r="E55" s="106"/>
      <c r="F55" s="24"/>
      <c r="G55" s="108"/>
      <c r="H55" s="108"/>
      <c r="I55" s="108"/>
      <c r="J55" s="108"/>
      <c r="K55" s="114"/>
      <c r="L55" s="114"/>
      <c r="M55" s="112"/>
      <c r="N55" s="112"/>
      <c r="O55" s="112" t="s">
        <v>86</v>
      </c>
      <c r="P55" s="112"/>
      <c r="Q55" s="112"/>
      <c r="R55" s="112" t="s">
        <v>86</v>
      </c>
      <c r="S55" s="117"/>
      <c r="T55" s="142"/>
      <c r="U55" s="112"/>
      <c r="V55" s="112"/>
      <c r="W55" s="143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</row>
    <row r="56" spans="1:43" s="66" customFormat="1" ht="15" customHeight="1">
      <c r="A56" s="109">
        <v>2</v>
      </c>
      <c r="B56" s="109">
        <v>0</v>
      </c>
      <c r="C56" s="109">
        <v>4</v>
      </c>
      <c r="D56" s="109">
        <v>1</v>
      </c>
      <c r="E56" s="109"/>
      <c r="F56" s="29" t="s">
        <v>35</v>
      </c>
      <c r="G56" s="110">
        <v>0</v>
      </c>
      <c r="H56" s="110"/>
      <c r="I56" s="110"/>
      <c r="J56" s="110">
        <v>0</v>
      </c>
      <c r="K56" s="114"/>
      <c r="L56" s="114"/>
      <c r="M56" s="110">
        <f>+G56+J56-I56</f>
        <v>0</v>
      </c>
      <c r="N56" s="112"/>
      <c r="O56" s="110">
        <v>0</v>
      </c>
      <c r="P56" s="110">
        <v>0</v>
      </c>
      <c r="Q56" s="110">
        <v>0</v>
      </c>
      <c r="R56" s="110">
        <v>0</v>
      </c>
      <c r="S56" s="115"/>
      <c r="T56" s="148">
        <f aca="true" t="shared" si="10" ref="T56:T88">+M56-O56</f>
        <v>0</v>
      </c>
      <c r="U56" s="110">
        <f aca="true" t="shared" si="11" ref="U56:W69">+O56-P56</f>
        <v>0</v>
      </c>
      <c r="V56" s="110">
        <f t="shared" si="11"/>
        <v>0</v>
      </c>
      <c r="W56" s="147">
        <f t="shared" si="11"/>
        <v>0</v>
      </c>
      <c r="X56" s="92"/>
      <c r="Y56" s="92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  <c r="AL56" s="291"/>
      <c r="AM56" s="291"/>
      <c r="AN56" s="291"/>
      <c r="AO56" s="291"/>
      <c r="AP56" s="291"/>
      <c r="AQ56" s="291"/>
    </row>
    <row r="57" spans="1:43" s="61" customFormat="1" ht="15" customHeight="1">
      <c r="A57" s="109">
        <v>2</v>
      </c>
      <c r="B57" s="109">
        <v>0</v>
      </c>
      <c r="C57" s="109">
        <v>4</v>
      </c>
      <c r="D57" s="109">
        <v>2</v>
      </c>
      <c r="E57" s="106"/>
      <c r="F57" s="29" t="s">
        <v>36</v>
      </c>
      <c r="G57" s="110">
        <v>0</v>
      </c>
      <c r="H57" s="110"/>
      <c r="I57" s="110"/>
      <c r="J57" s="110"/>
      <c r="K57" s="114"/>
      <c r="L57" s="114"/>
      <c r="M57" s="110">
        <f>+G57+J57-I57</f>
        <v>0</v>
      </c>
      <c r="N57" s="112"/>
      <c r="O57" s="110">
        <v>0</v>
      </c>
      <c r="P57" s="110">
        <v>0</v>
      </c>
      <c r="Q57" s="110">
        <v>0</v>
      </c>
      <c r="R57" s="110">
        <v>0</v>
      </c>
      <c r="S57" s="117"/>
      <c r="T57" s="148">
        <f t="shared" si="10"/>
        <v>0</v>
      </c>
      <c r="U57" s="110">
        <f t="shared" si="11"/>
        <v>0</v>
      </c>
      <c r="V57" s="110">
        <f t="shared" si="11"/>
        <v>0</v>
      </c>
      <c r="W57" s="147">
        <f t="shared" si="11"/>
        <v>0</v>
      </c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</row>
    <row r="58" spans="1:43" s="61" customFormat="1" ht="15" customHeight="1">
      <c r="A58" s="109">
        <v>2</v>
      </c>
      <c r="B58" s="109">
        <v>0</v>
      </c>
      <c r="C58" s="109">
        <v>4</v>
      </c>
      <c r="D58" s="109">
        <v>4</v>
      </c>
      <c r="E58" s="106"/>
      <c r="F58" s="29" t="s">
        <v>37</v>
      </c>
      <c r="G58" s="110">
        <v>46598300</v>
      </c>
      <c r="H58" s="110"/>
      <c r="I58" s="110">
        <f>2559500+300000</f>
        <v>2859500</v>
      </c>
      <c r="J58" s="110"/>
      <c r="K58" s="114"/>
      <c r="L58" s="114"/>
      <c r="M58" s="111">
        <f>+G58+J58+L58-K58-I58</f>
        <v>43738800</v>
      </c>
      <c r="N58" s="112"/>
      <c r="O58" s="110">
        <f>32515280+8744548+781840+82000-31320</f>
        <v>42092348</v>
      </c>
      <c r="P58" s="110">
        <f>32515280+8744548+781840-468000+550000-31320</f>
        <v>42092348</v>
      </c>
      <c r="Q58" s="110">
        <f>3202083+3354800+3104400+3179840+6006615+877864+10806099+4394733+7165914</f>
        <v>42092348</v>
      </c>
      <c r="R58" s="110">
        <f>3202083+3354800+3104400+3179840+6006615+877864+10806099+11560647</f>
        <v>42092348</v>
      </c>
      <c r="S58" s="117"/>
      <c r="T58" s="146">
        <f t="shared" si="10"/>
        <v>1646452</v>
      </c>
      <c r="U58" s="110">
        <f t="shared" si="11"/>
        <v>0</v>
      </c>
      <c r="V58" s="110">
        <f t="shared" si="11"/>
        <v>0</v>
      </c>
      <c r="W58" s="147">
        <f t="shared" si="11"/>
        <v>0</v>
      </c>
      <c r="X58" s="93"/>
      <c r="Y58" s="93"/>
      <c r="Z58" s="93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</row>
    <row r="59" spans="1:43" s="61" customFormat="1" ht="15" customHeight="1">
      <c r="A59" s="109">
        <v>2</v>
      </c>
      <c r="B59" s="109">
        <v>0</v>
      </c>
      <c r="C59" s="109">
        <v>4</v>
      </c>
      <c r="D59" s="109">
        <v>5</v>
      </c>
      <c r="E59" s="106"/>
      <c r="F59" s="29" t="s">
        <v>38</v>
      </c>
      <c r="G59" s="110">
        <v>509910276</v>
      </c>
      <c r="H59" s="110"/>
      <c r="I59" s="110">
        <v>0</v>
      </c>
      <c r="J59" s="110"/>
      <c r="K59" s="114"/>
      <c r="L59" s="114"/>
      <c r="M59" s="111">
        <f>+G59+J59+L59-K59-I59</f>
        <v>509910276</v>
      </c>
      <c r="N59" s="112"/>
      <c r="O59" s="110">
        <f>365737047+27103860+46651734+8396491-831251+8482500+9074690+20921645+10867949-756181</f>
        <v>495648484</v>
      </c>
      <c r="P59" s="119">
        <f>240222963+39857562+52982157+4153261+31484960+11020850+11020850+11020850+11020850+22374701+49658483+10830997</f>
        <v>495648484</v>
      </c>
      <c r="Q59" s="119">
        <f>10390423+54058976+33685499+55376454+60990034+22577294+54512054+36507658+35656542+37647794+51704819+42540935</f>
        <v>495648482</v>
      </c>
      <c r="R59" s="119">
        <f>10390423+10936423+53512976+36207207+53485173+62012841+22577294+54512054+36507658+38111742+35837294+81557397</f>
        <v>495648482</v>
      </c>
      <c r="S59" s="117"/>
      <c r="T59" s="146">
        <f t="shared" si="10"/>
        <v>14261792</v>
      </c>
      <c r="U59" s="119">
        <f t="shared" si="11"/>
        <v>0</v>
      </c>
      <c r="V59" s="119">
        <f t="shared" si="11"/>
        <v>2</v>
      </c>
      <c r="W59" s="150">
        <f t="shared" si="11"/>
        <v>0</v>
      </c>
      <c r="X59" s="93"/>
      <c r="Y59" s="93"/>
      <c r="Z59" s="93"/>
      <c r="AA59" s="293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</row>
    <row r="60" spans="1:43" s="61" customFormat="1" ht="15" customHeight="1">
      <c r="A60" s="109">
        <v>2</v>
      </c>
      <c r="B60" s="109">
        <v>0</v>
      </c>
      <c r="C60" s="109">
        <v>4</v>
      </c>
      <c r="D60" s="109">
        <v>6</v>
      </c>
      <c r="E60" s="106"/>
      <c r="F60" s="29" t="s">
        <v>39</v>
      </c>
      <c r="G60" s="110">
        <v>165364688</v>
      </c>
      <c r="H60" s="110"/>
      <c r="I60" s="110">
        <v>0</v>
      </c>
      <c r="J60" s="110">
        <v>0</v>
      </c>
      <c r="K60" s="114"/>
      <c r="L60" s="114"/>
      <c r="M60" s="111">
        <f>+G60+J60+L60-K60-I60</f>
        <v>165364688</v>
      </c>
      <c r="N60" s="112"/>
      <c r="O60" s="119">
        <f>115712240+2528328+6456840+9500000+20000000+4466172+4844772-1773282</f>
        <v>161735070</v>
      </c>
      <c r="P60" s="119">
        <f>115712240+2956840+3500000+9463328+350000+20775000+1718724+692400+6328938</f>
        <v>161497470</v>
      </c>
      <c r="Q60" s="119">
        <f>12746448+14603388+23374940+6091324+35762600+18550792+5438572+19456324+20572672</f>
        <v>156597060</v>
      </c>
      <c r="R60" s="110">
        <f>12746448+14603388+23374940+6091324+36362600+17950792+5438572+40028996</f>
        <v>156597060</v>
      </c>
      <c r="S60" s="117"/>
      <c r="T60" s="146">
        <f t="shared" si="10"/>
        <v>3629618</v>
      </c>
      <c r="U60" s="119">
        <f t="shared" si="11"/>
        <v>237600</v>
      </c>
      <c r="V60" s="119">
        <f t="shared" si="11"/>
        <v>4900410</v>
      </c>
      <c r="W60" s="110">
        <f t="shared" si="11"/>
        <v>0</v>
      </c>
      <c r="X60" s="93"/>
      <c r="Y60" s="93"/>
      <c r="AA60" s="293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</row>
    <row r="61" spans="1:43" s="61" customFormat="1" ht="15" customHeight="1">
      <c r="A61" s="109">
        <v>2</v>
      </c>
      <c r="B61" s="109">
        <v>0</v>
      </c>
      <c r="C61" s="109">
        <v>4</v>
      </c>
      <c r="D61" s="109">
        <v>7</v>
      </c>
      <c r="E61" s="106"/>
      <c r="F61" s="29" t="s">
        <v>40</v>
      </c>
      <c r="G61" s="110">
        <v>0</v>
      </c>
      <c r="H61" s="110"/>
      <c r="I61" s="110">
        <v>0</v>
      </c>
      <c r="J61" s="110">
        <v>0</v>
      </c>
      <c r="K61" s="114"/>
      <c r="L61" s="114"/>
      <c r="M61" s="110">
        <f>+G61+J61-I61</f>
        <v>0</v>
      </c>
      <c r="N61" s="112"/>
      <c r="O61" s="110">
        <v>0</v>
      </c>
      <c r="P61" s="110">
        <v>0</v>
      </c>
      <c r="Q61" s="110">
        <v>0</v>
      </c>
      <c r="R61" s="110">
        <v>0</v>
      </c>
      <c r="S61" s="117"/>
      <c r="T61" s="148">
        <f t="shared" si="10"/>
        <v>0</v>
      </c>
      <c r="U61" s="110">
        <f t="shared" si="11"/>
        <v>0</v>
      </c>
      <c r="V61" s="110">
        <f t="shared" si="11"/>
        <v>0</v>
      </c>
      <c r="W61" s="147">
        <f t="shared" si="11"/>
        <v>0</v>
      </c>
      <c r="X61" s="93"/>
      <c r="Y61" s="93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</row>
    <row r="62" spans="1:43" s="61" customFormat="1" ht="15" customHeight="1">
      <c r="A62" s="109">
        <v>2</v>
      </c>
      <c r="B62" s="109">
        <v>0</v>
      </c>
      <c r="C62" s="109">
        <v>4</v>
      </c>
      <c r="D62" s="109">
        <v>8</v>
      </c>
      <c r="E62" s="106"/>
      <c r="F62" s="29" t="s">
        <v>41</v>
      </c>
      <c r="G62" s="110">
        <v>0</v>
      </c>
      <c r="H62" s="110"/>
      <c r="I62" s="110"/>
      <c r="J62" s="110">
        <v>0</v>
      </c>
      <c r="K62" s="114"/>
      <c r="L62" s="114"/>
      <c r="M62" s="110">
        <f>+G62+J62-I62</f>
        <v>0</v>
      </c>
      <c r="N62" s="112"/>
      <c r="O62" s="110">
        <v>0</v>
      </c>
      <c r="P62" s="110">
        <v>0</v>
      </c>
      <c r="Q62" s="110">
        <v>0</v>
      </c>
      <c r="R62" s="110">
        <v>0</v>
      </c>
      <c r="S62" s="117"/>
      <c r="T62" s="148">
        <f t="shared" si="10"/>
        <v>0</v>
      </c>
      <c r="U62" s="110">
        <f t="shared" si="11"/>
        <v>0</v>
      </c>
      <c r="V62" s="110">
        <f t="shared" si="11"/>
        <v>0</v>
      </c>
      <c r="W62" s="147">
        <f t="shared" si="11"/>
        <v>0</v>
      </c>
      <c r="Y62" s="93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</row>
    <row r="63" spans="1:43" s="61" customFormat="1" ht="15" customHeight="1">
      <c r="A63" s="109">
        <v>2</v>
      </c>
      <c r="B63" s="109">
        <v>0</v>
      </c>
      <c r="C63" s="109">
        <v>4</v>
      </c>
      <c r="D63" s="109">
        <v>9</v>
      </c>
      <c r="E63" s="106"/>
      <c r="F63" s="29" t="s">
        <v>42</v>
      </c>
      <c r="G63" s="110">
        <v>0</v>
      </c>
      <c r="H63" s="110"/>
      <c r="I63" s="108"/>
      <c r="J63" s="110">
        <v>0</v>
      </c>
      <c r="K63" s="114"/>
      <c r="L63" s="114"/>
      <c r="M63" s="110">
        <f>+G63+J63-I63</f>
        <v>0</v>
      </c>
      <c r="N63" s="112"/>
      <c r="O63" s="110">
        <v>0</v>
      </c>
      <c r="P63" s="110">
        <v>0</v>
      </c>
      <c r="Q63" s="110">
        <v>0</v>
      </c>
      <c r="R63" s="110">
        <v>0</v>
      </c>
      <c r="S63" s="117"/>
      <c r="T63" s="148">
        <f t="shared" si="10"/>
        <v>0</v>
      </c>
      <c r="U63" s="110">
        <f t="shared" si="11"/>
        <v>0</v>
      </c>
      <c r="V63" s="110">
        <f t="shared" si="11"/>
        <v>0</v>
      </c>
      <c r="W63" s="147">
        <f t="shared" si="11"/>
        <v>0</v>
      </c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</row>
    <row r="64" spans="1:43" s="67" customFormat="1" ht="15" customHeight="1">
      <c r="A64" s="109">
        <v>2</v>
      </c>
      <c r="B64" s="109">
        <v>0</v>
      </c>
      <c r="C64" s="109">
        <v>4</v>
      </c>
      <c r="D64" s="109">
        <v>11</v>
      </c>
      <c r="E64" s="106"/>
      <c r="F64" s="29" t="s">
        <v>44</v>
      </c>
      <c r="G64" s="110">
        <v>250000000</v>
      </c>
      <c r="H64" s="110"/>
      <c r="I64" s="108"/>
      <c r="J64" s="108"/>
      <c r="K64" s="114"/>
      <c r="L64" s="114"/>
      <c r="M64" s="111">
        <f>+G64+J64+L64-K64-I64</f>
        <v>250000000</v>
      </c>
      <c r="N64" s="112"/>
      <c r="O64" s="119">
        <f>23000000+86420599+22781980+20791988+9203778+12169232+10187845+18500089+10627614-8134799</f>
        <v>205548326</v>
      </c>
      <c r="P64" s="119">
        <f>10000000+11420599+97781980+20791988+9203778+12169232+10187845+18500089+10627614-2837444</f>
        <v>197845681</v>
      </c>
      <c r="Q64" s="119">
        <f>2773835+18478177+32016750+6788268+29402661+11385492+23935559+19401390+27705634+17468222+8489693</f>
        <v>197845681</v>
      </c>
      <c r="R64" s="119">
        <f>2773835+11420599+29839558+9234770+27580256+17814451+14350946+21954172+27713634+20001746+15161714</f>
        <v>197845681</v>
      </c>
      <c r="S64" s="117"/>
      <c r="T64" s="146">
        <f t="shared" si="10"/>
        <v>44451674</v>
      </c>
      <c r="U64" s="119">
        <f t="shared" si="11"/>
        <v>7702645</v>
      </c>
      <c r="V64" s="119">
        <f t="shared" si="11"/>
        <v>0</v>
      </c>
      <c r="W64" s="147">
        <f t="shared" si="11"/>
        <v>0</v>
      </c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</row>
    <row r="65" spans="1:43" s="61" customFormat="1" ht="15" customHeight="1">
      <c r="A65" s="109">
        <v>2</v>
      </c>
      <c r="B65" s="109">
        <v>0</v>
      </c>
      <c r="C65" s="109">
        <v>4</v>
      </c>
      <c r="D65" s="109">
        <v>13</v>
      </c>
      <c r="E65" s="109"/>
      <c r="F65" s="29" t="s">
        <v>45</v>
      </c>
      <c r="G65" s="110">
        <v>35000000</v>
      </c>
      <c r="H65" s="110"/>
      <c r="I65" s="110"/>
      <c r="J65" s="110">
        <v>0</v>
      </c>
      <c r="K65" s="114"/>
      <c r="L65" s="114"/>
      <c r="M65" s="111">
        <f>+G65+J65+L65-K65-I65</f>
        <v>35000000</v>
      </c>
      <c r="N65" s="112"/>
      <c r="O65" s="119">
        <f>30000000+5000000-3347160</f>
        <v>31652840</v>
      </c>
      <c r="P65" s="119">
        <f>30000000+5000000-3437160</f>
        <v>31562840</v>
      </c>
      <c r="Q65" s="119">
        <f>2411060+2614060+2684820+2684820+2793860+2771820+2733640+2623920+2661620+2673220+2886040+2113960</f>
        <v>31652840</v>
      </c>
      <c r="R65" s="119">
        <f>2411060+2614060+2684820+2684820+2793860+2771820+2733640+2623920+2661620+2673220+5000000</f>
        <v>31652840</v>
      </c>
      <c r="S65" s="117"/>
      <c r="T65" s="146">
        <f t="shared" si="10"/>
        <v>3347160</v>
      </c>
      <c r="U65" s="110">
        <f t="shared" si="11"/>
        <v>90000</v>
      </c>
      <c r="V65" s="119">
        <f t="shared" si="11"/>
        <v>-90000</v>
      </c>
      <c r="W65" s="149">
        <f t="shared" si="11"/>
        <v>0</v>
      </c>
      <c r="X65" s="95"/>
      <c r="Y65" s="94"/>
      <c r="Z65" s="93"/>
      <c r="AA65" s="152"/>
      <c r="AB65" s="294"/>
      <c r="AC65" s="294"/>
      <c r="AD65" s="295"/>
      <c r="AE65" s="295"/>
      <c r="AF65" s="295"/>
      <c r="AG65" s="295"/>
      <c r="AH65" s="280"/>
      <c r="AI65" s="296"/>
      <c r="AJ65" s="297"/>
      <c r="AK65" s="297"/>
      <c r="AL65" s="297"/>
      <c r="AM65" s="297"/>
      <c r="AN65" s="292"/>
      <c r="AO65" s="292"/>
      <c r="AP65" s="292"/>
      <c r="AQ65" s="292"/>
    </row>
    <row r="66" spans="1:43" s="66" customFormat="1" ht="15" customHeight="1">
      <c r="A66" s="109">
        <v>2</v>
      </c>
      <c r="B66" s="109">
        <v>0</v>
      </c>
      <c r="C66" s="109">
        <v>4</v>
      </c>
      <c r="D66" s="109">
        <v>17</v>
      </c>
      <c r="E66" s="109"/>
      <c r="F66" s="29" t="s">
        <v>46</v>
      </c>
      <c r="G66" s="110">
        <v>0</v>
      </c>
      <c r="H66" s="110"/>
      <c r="I66" s="110">
        <v>0</v>
      </c>
      <c r="J66" s="110"/>
      <c r="K66" s="114"/>
      <c r="L66" s="114"/>
      <c r="M66" s="110">
        <f>+G66+J66-I66</f>
        <v>0</v>
      </c>
      <c r="N66" s="112"/>
      <c r="O66" s="110">
        <v>0</v>
      </c>
      <c r="P66" s="110">
        <v>0</v>
      </c>
      <c r="Q66" s="110">
        <v>0</v>
      </c>
      <c r="R66" s="110">
        <v>0</v>
      </c>
      <c r="S66" s="115"/>
      <c r="T66" s="148">
        <f t="shared" si="10"/>
        <v>0</v>
      </c>
      <c r="U66" s="110">
        <f t="shared" si="11"/>
        <v>0</v>
      </c>
      <c r="V66" s="110">
        <f t="shared" si="11"/>
        <v>0</v>
      </c>
      <c r="W66" s="147">
        <f t="shared" si="11"/>
        <v>0</v>
      </c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291"/>
      <c r="AO66" s="291"/>
      <c r="AP66" s="291"/>
      <c r="AQ66" s="291"/>
    </row>
    <row r="67" spans="1:43" s="66" customFormat="1" ht="15" customHeight="1">
      <c r="A67" s="109">
        <v>2</v>
      </c>
      <c r="B67" s="109">
        <v>0</v>
      </c>
      <c r="C67" s="109">
        <v>4</v>
      </c>
      <c r="D67" s="109">
        <v>21</v>
      </c>
      <c r="E67" s="106"/>
      <c r="F67" s="123" t="s">
        <v>70</v>
      </c>
      <c r="G67" s="110">
        <v>65000000</v>
      </c>
      <c r="H67" s="110"/>
      <c r="I67" s="110"/>
      <c r="J67" s="108"/>
      <c r="K67" s="114"/>
      <c r="L67" s="114"/>
      <c r="M67" s="111">
        <f>+G67+J67+L67-K67-I67</f>
        <v>65000000</v>
      </c>
      <c r="N67" s="112"/>
      <c r="O67" s="119">
        <f>1724187+800599+10554000+989000+1249000+13480726+2668000+13416000+2566765+1653900+13506960</f>
        <v>62609137</v>
      </c>
      <c r="P67" s="119">
        <f>1464187+1060599+654000+10889000+1249000+5008726+9627000+3649000+13846765+1653900+13506960</f>
        <v>62609137</v>
      </c>
      <c r="Q67" s="119">
        <f>1544786+654000+876000+11535000+564000+11748000+16158791+5686600+13841960</f>
        <v>62609137</v>
      </c>
      <c r="R67" s="110">
        <f>1544786+1356000+11535000+564000+11748000+2646000+15340691+4032700+13841960</f>
        <v>62609137</v>
      </c>
      <c r="S67" s="115"/>
      <c r="T67" s="146">
        <f t="shared" si="10"/>
        <v>2390863</v>
      </c>
      <c r="U67" s="110">
        <f t="shared" si="11"/>
        <v>0</v>
      </c>
      <c r="V67" s="119">
        <f t="shared" si="11"/>
        <v>0</v>
      </c>
      <c r="W67" s="149">
        <f t="shared" si="11"/>
        <v>0</v>
      </c>
      <c r="X67" s="104"/>
      <c r="AA67" s="291"/>
      <c r="AB67" s="291"/>
      <c r="AC67" s="291"/>
      <c r="AD67" s="291"/>
      <c r="AE67" s="291"/>
      <c r="AF67" s="291"/>
      <c r="AG67" s="291"/>
      <c r="AH67" s="291"/>
      <c r="AI67" s="291"/>
      <c r="AJ67" s="298"/>
      <c r="AK67" s="298"/>
      <c r="AL67" s="298"/>
      <c r="AM67" s="298"/>
      <c r="AN67" s="291"/>
      <c r="AO67" s="291"/>
      <c r="AP67" s="291"/>
      <c r="AQ67" s="291"/>
    </row>
    <row r="68" spans="1:43" s="61" customFormat="1" ht="15" customHeight="1">
      <c r="A68" s="109">
        <v>2</v>
      </c>
      <c r="B68" s="109">
        <v>0</v>
      </c>
      <c r="C68" s="109">
        <v>4</v>
      </c>
      <c r="D68" s="109">
        <v>40</v>
      </c>
      <c r="E68" s="106"/>
      <c r="F68" s="29" t="s">
        <v>47</v>
      </c>
      <c r="G68" s="110">
        <v>4500000</v>
      </c>
      <c r="H68" s="110"/>
      <c r="I68" s="110"/>
      <c r="J68" s="110"/>
      <c r="K68" s="114"/>
      <c r="L68" s="114"/>
      <c r="M68" s="111">
        <f>+G68+J68+L68-K68-I68</f>
        <v>4500000</v>
      </c>
      <c r="N68" s="112"/>
      <c r="O68" s="119">
        <f>1000000+185100+236400+2000+40200+83500+155700</f>
        <v>1702900</v>
      </c>
      <c r="P68" s="119">
        <f>185100+236400+2000+40200+83500+155700+101260</f>
        <v>804160</v>
      </c>
      <c r="Q68" s="119">
        <f>185100+236400+2000+40200+83500+155700+101260</f>
        <v>804160</v>
      </c>
      <c r="R68" s="110">
        <f>421500+2000+40200+83500+256960</f>
        <v>804160</v>
      </c>
      <c r="S68" s="117"/>
      <c r="T68" s="146">
        <f t="shared" si="10"/>
        <v>2797100</v>
      </c>
      <c r="U68" s="119">
        <f t="shared" si="11"/>
        <v>898740</v>
      </c>
      <c r="V68" s="110">
        <f t="shared" si="11"/>
        <v>0</v>
      </c>
      <c r="W68" s="110">
        <f t="shared" si="11"/>
        <v>0</v>
      </c>
      <c r="X68" s="93"/>
      <c r="Y68" s="93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</row>
    <row r="69" spans="1:43" s="61" customFormat="1" ht="15" customHeight="1">
      <c r="A69" s="109">
        <v>2</v>
      </c>
      <c r="B69" s="109">
        <v>0</v>
      </c>
      <c r="C69" s="109">
        <v>4</v>
      </c>
      <c r="D69" s="109">
        <v>41</v>
      </c>
      <c r="E69" s="109"/>
      <c r="F69" s="29" t="s">
        <v>48</v>
      </c>
      <c r="G69" s="110">
        <v>170385436</v>
      </c>
      <c r="H69" s="110"/>
      <c r="I69" s="110"/>
      <c r="J69" s="108"/>
      <c r="K69" s="114"/>
      <c r="L69" s="114"/>
      <c r="M69" s="111">
        <f>+G69+J69+L69-K69-I69</f>
        <v>170385436</v>
      </c>
      <c r="N69" s="116"/>
      <c r="O69" s="119">
        <f>14870000+146225750+721490+162500+537500+244300+300400+103800+1108353+307660+283953</f>
        <v>164865706</v>
      </c>
      <c r="P69" s="119">
        <f>13870000+7125750+139821490+162500+537500+244300+300400+103800+1108353+307660+283953+143870</f>
        <v>164009576</v>
      </c>
      <c r="Q69" s="119">
        <f>14060750+7656490+14804605+15179605+14886405+14942505+14745905+15750458+14949765+14926058+22107030</f>
        <v>164009576</v>
      </c>
      <c r="R69" s="110">
        <f>14782240+7097500+15179605+14886405+14942505+14642105+30496363+307660+14642105+37033088</f>
        <v>164009576</v>
      </c>
      <c r="S69" s="117"/>
      <c r="T69" s="146">
        <f t="shared" si="10"/>
        <v>5519730</v>
      </c>
      <c r="U69" s="119">
        <f t="shared" si="11"/>
        <v>856130</v>
      </c>
      <c r="V69" s="119">
        <f t="shared" si="11"/>
        <v>0</v>
      </c>
      <c r="W69" s="149">
        <f t="shared" si="11"/>
        <v>0</v>
      </c>
      <c r="X69" s="93"/>
      <c r="Y69" s="93"/>
      <c r="Z69" s="93"/>
      <c r="AA69" s="293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</row>
    <row r="70" spans="1:43" s="66" customFormat="1" ht="15" customHeight="1" thickBot="1">
      <c r="A70" s="309"/>
      <c r="B70" s="309"/>
      <c r="C70" s="309"/>
      <c r="D70" s="309"/>
      <c r="E70" s="309"/>
      <c r="F70" s="309"/>
      <c r="G70" s="309"/>
      <c r="H70" s="309"/>
      <c r="I70" s="326"/>
      <c r="J70" s="326">
        <v>0</v>
      </c>
      <c r="K70" s="311"/>
      <c r="L70" s="311"/>
      <c r="M70" s="309"/>
      <c r="N70" s="267"/>
      <c r="O70" s="310"/>
      <c r="P70" s="310"/>
      <c r="Q70" s="310"/>
      <c r="R70" s="310"/>
      <c r="S70" s="284"/>
      <c r="T70" s="312"/>
      <c r="U70" s="310"/>
      <c r="V70" s="310"/>
      <c r="W70" s="313"/>
      <c r="X70" s="92"/>
      <c r="Y70" s="92"/>
      <c r="Z70" s="92"/>
      <c r="AA70" s="298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</row>
    <row r="71" spans="1:43" s="66" customFormat="1" ht="15" customHeight="1">
      <c r="A71" s="133">
        <v>3</v>
      </c>
      <c r="B71" s="60"/>
      <c r="C71" s="60"/>
      <c r="D71" s="60"/>
      <c r="E71" s="60"/>
      <c r="F71" s="134" t="s">
        <v>79</v>
      </c>
      <c r="G71" s="50">
        <f>+G72+G76+G79</f>
        <v>607000000</v>
      </c>
      <c r="H71" s="131"/>
      <c r="I71" s="50">
        <f>+I72+I76+I79</f>
        <v>33000000</v>
      </c>
      <c r="J71" s="50">
        <f>+J72+J76+J79</f>
        <v>0</v>
      </c>
      <c r="K71" s="50">
        <f>+K72+K76+K79</f>
        <v>0</v>
      </c>
      <c r="L71" s="50">
        <f>+L72+L76+L79</f>
        <v>0</v>
      </c>
      <c r="M71" s="186">
        <f>+G71+J71+L71-K71-I71</f>
        <v>574000000</v>
      </c>
      <c r="N71" s="135"/>
      <c r="O71" s="50">
        <f>+O72+O76+O79</f>
        <v>565360137</v>
      </c>
      <c r="P71" s="50">
        <f>+P72+P76+P79</f>
        <v>565360137</v>
      </c>
      <c r="Q71" s="50">
        <f>+Q72+Q76+Q79</f>
        <v>565360137</v>
      </c>
      <c r="R71" s="50">
        <f>+R72+R76+R79</f>
        <v>565360137</v>
      </c>
      <c r="S71" s="132"/>
      <c r="T71" s="302">
        <f aca="true" t="shared" si="12" ref="T71:T79">+M71-O71</f>
        <v>8639863</v>
      </c>
      <c r="U71" s="110">
        <f aca="true" t="shared" si="13" ref="U71:W74">+O71-P71</f>
        <v>0</v>
      </c>
      <c r="V71" s="110">
        <f t="shared" si="13"/>
        <v>0</v>
      </c>
      <c r="W71" s="110">
        <f t="shared" si="13"/>
        <v>0</v>
      </c>
      <c r="X71" s="92"/>
      <c r="Y71" s="92"/>
      <c r="Z71" s="92"/>
      <c r="AA71" s="298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  <c r="AL71" s="291"/>
      <c r="AM71" s="291"/>
      <c r="AN71" s="291"/>
      <c r="AO71" s="291"/>
      <c r="AP71" s="291"/>
      <c r="AQ71" s="291"/>
    </row>
    <row r="72" spans="1:43" s="29" customFormat="1" ht="15" customHeight="1">
      <c r="A72" s="29">
        <v>3</v>
      </c>
      <c r="B72" s="29">
        <v>2</v>
      </c>
      <c r="F72" s="29" t="s">
        <v>80</v>
      </c>
      <c r="G72" s="110">
        <f>+G73</f>
        <v>18000000</v>
      </c>
      <c r="I72" s="327">
        <f aca="true" t="shared" si="14" ref="I72:L73">+I73</f>
        <v>0</v>
      </c>
      <c r="J72" s="327">
        <f t="shared" si="14"/>
        <v>0</v>
      </c>
      <c r="K72" s="29">
        <f t="shared" si="14"/>
        <v>0</v>
      </c>
      <c r="L72" s="29">
        <f t="shared" si="14"/>
        <v>0</v>
      </c>
      <c r="M72" s="148">
        <f aca="true" t="shared" si="15" ref="M72:M77">+G72+J72-I72</f>
        <v>18000000</v>
      </c>
      <c r="O72" s="110">
        <f>+O73</f>
        <v>15360137</v>
      </c>
      <c r="P72" s="110">
        <f aca="true" t="shared" si="16" ref="P72:R73">+P73</f>
        <v>15360137</v>
      </c>
      <c r="Q72" s="110">
        <f t="shared" si="16"/>
        <v>15360137</v>
      </c>
      <c r="R72" s="110">
        <f t="shared" si="16"/>
        <v>15360137</v>
      </c>
      <c r="S72" s="139"/>
      <c r="T72" s="148">
        <f t="shared" si="12"/>
        <v>2639863</v>
      </c>
      <c r="U72" s="110">
        <f t="shared" si="13"/>
        <v>0</v>
      </c>
      <c r="V72" s="110">
        <f t="shared" si="13"/>
        <v>0</v>
      </c>
      <c r="W72" s="147">
        <f t="shared" si="13"/>
        <v>0</v>
      </c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</row>
    <row r="73" spans="1:43" s="29" customFormat="1" ht="15" customHeight="1">
      <c r="A73" s="29">
        <v>3</v>
      </c>
      <c r="B73" s="29">
        <v>2</v>
      </c>
      <c r="C73" s="29">
        <v>1</v>
      </c>
      <c r="F73" s="29" t="s">
        <v>81</v>
      </c>
      <c r="G73" s="110">
        <f>+G74</f>
        <v>18000000</v>
      </c>
      <c r="I73" s="327">
        <f t="shared" si="14"/>
        <v>0</v>
      </c>
      <c r="J73" s="327">
        <f t="shared" si="14"/>
        <v>0</v>
      </c>
      <c r="K73" s="29">
        <f t="shared" si="14"/>
        <v>0</v>
      </c>
      <c r="L73" s="29">
        <f t="shared" si="14"/>
        <v>0</v>
      </c>
      <c r="M73" s="148">
        <f t="shared" si="15"/>
        <v>18000000</v>
      </c>
      <c r="O73" s="110">
        <f>+O74</f>
        <v>15360137</v>
      </c>
      <c r="P73" s="110">
        <f t="shared" si="16"/>
        <v>15360137</v>
      </c>
      <c r="Q73" s="110">
        <f t="shared" si="16"/>
        <v>15360137</v>
      </c>
      <c r="R73" s="110">
        <f t="shared" si="16"/>
        <v>15360137</v>
      </c>
      <c r="S73" s="139"/>
      <c r="T73" s="148">
        <f t="shared" si="12"/>
        <v>2639863</v>
      </c>
      <c r="U73" s="110">
        <f t="shared" si="13"/>
        <v>0</v>
      </c>
      <c r="V73" s="110">
        <f t="shared" si="13"/>
        <v>0</v>
      </c>
      <c r="W73" s="147">
        <f t="shared" si="13"/>
        <v>0</v>
      </c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</row>
    <row r="74" spans="1:43" s="29" customFormat="1" ht="15" customHeight="1">
      <c r="A74" s="29">
        <v>3</v>
      </c>
      <c r="B74" s="29">
        <v>2</v>
      </c>
      <c r="C74" s="29">
        <v>1</v>
      </c>
      <c r="D74" s="29">
        <v>1</v>
      </c>
      <c r="E74" s="29">
        <v>20</v>
      </c>
      <c r="F74" s="29" t="s">
        <v>82</v>
      </c>
      <c r="G74" s="110">
        <v>18000000</v>
      </c>
      <c r="I74" s="327">
        <v>0</v>
      </c>
      <c r="J74" s="327">
        <v>0</v>
      </c>
      <c r="K74" s="29">
        <v>0</v>
      </c>
      <c r="L74" s="29">
        <v>0</v>
      </c>
      <c r="M74" s="111">
        <f>+G74+J74+L74-K74-I74</f>
        <v>18000000</v>
      </c>
      <c r="O74" s="110">
        <v>15360137</v>
      </c>
      <c r="P74" s="110">
        <v>15360137</v>
      </c>
      <c r="Q74" s="110">
        <v>15360137</v>
      </c>
      <c r="R74" s="110">
        <v>15360137</v>
      </c>
      <c r="S74" s="139"/>
      <c r="T74" s="148">
        <f t="shared" si="12"/>
        <v>2639863</v>
      </c>
      <c r="U74" s="110">
        <f t="shared" si="13"/>
        <v>0</v>
      </c>
      <c r="V74" s="110">
        <f t="shared" si="13"/>
        <v>0</v>
      </c>
      <c r="W74" s="147">
        <f t="shared" si="13"/>
        <v>0</v>
      </c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</row>
    <row r="75" spans="7:43" s="29" customFormat="1" ht="15" customHeight="1">
      <c r="G75" s="110"/>
      <c r="I75" s="327"/>
      <c r="J75" s="327"/>
      <c r="O75" s="110"/>
      <c r="P75" s="110"/>
      <c r="Q75" s="110"/>
      <c r="R75" s="110"/>
      <c r="S75" s="139"/>
      <c r="T75" s="148"/>
      <c r="U75" s="110"/>
      <c r="V75" s="110"/>
      <c r="W75" s="147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</row>
    <row r="76" spans="1:43" s="29" customFormat="1" ht="15" customHeight="1">
      <c r="A76" s="29">
        <v>3</v>
      </c>
      <c r="B76" s="29">
        <v>6</v>
      </c>
      <c r="F76" s="29" t="s">
        <v>83</v>
      </c>
      <c r="G76" s="110">
        <f>+G77</f>
        <v>209000000</v>
      </c>
      <c r="I76" s="327">
        <v>0</v>
      </c>
      <c r="J76" s="327"/>
      <c r="M76" s="148">
        <f t="shared" si="15"/>
        <v>209000000</v>
      </c>
      <c r="O76" s="110">
        <f>+O77</f>
        <v>209000000</v>
      </c>
      <c r="P76" s="110">
        <f aca="true" t="shared" si="17" ref="P76:R77">+P77</f>
        <v>209000000</v>
      </c>
      <c r="Q76" s="110">
        <f t="shared" si="17"/>
        <v>209000000</v>
      </c>
      <c r="R76" s="110">
        <f t="shared" si="17"/>
        <v>209000000</v>
      </c>
      <c r="S76" s="139"/>
      <c r="T76" s="148">
        <f t="shared" si="12"/>
        <v>0</v>
      </c>
      <c r="U76" s="110">
        <f aca="true" t="shared" si="18" ref="U76:W79">+O76-P76</f>
        <v>0</v>
      </c>
      <c r="V76" s="110">
        <f t="shared" si="18"/>
        <v>0</v>
      </c>
      <c r="W76" s="147">
        <f t="shared" si="18"/>
        <v>0</v>
      </c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</row>
    <row r="77" spans="1:43" s="29" customFormat="1" ht="15" customHeight="1">
      <c r="A77" s="29">
        <v>3</v>
      </c>
      <c r="B77" s="29">
        <v>6</v>
      </c>
      <c r="C77" s="29">
        <v>1</v>
      </c>
      <c r="F77" s="29" t="s">
        <v>84</v>
      </c>
      <c r="G77" s="110">
        <f>+G78</f>
        <v>209000000</v>
      </c>
      <c r="I77" s="327">
        <v>0</v>
      </c>
      <c r="J77" s="327"/>
      <c r="M77" s="148">
        <f t="shared" si="15"/>
        <v>209000000</v>
      </c>
      <c r="O77" s="110">
        <f>+O78</f>
        <v>209000000</v>
      </c>
      <c r="P77" s="110">
        <f t="shared" si="17"/>
        <v>209000000</v>
      </c>
      <c r="Q77" s="110">
        <f t="shared" si="17"/>
        <v>209000000</v>
      </c>
      <c r="R77" s="110">
        <f t="shared" si="17"/>
        <v>209000000</v>
      </c>
      <c r="S77" s="139"/>
      <c r="T77" s="148">
        <f t="shared" si="12"/>
        <v>0</v>
      </c>
      <c r="U77" s="110">
        <f t="shared" si="18"/>
        <v>0</v>
      </c>
      <c r="V77" s="110">
        <f t="shared" si="18"/>
        <v>0</v>
      </c>
      <c r="W77" s="147">
        <f t="shared" si="18"/>
        <v>0</v>
      </c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</row>
    <row r="78" spans="1:43" s="29" customFormat="1" ht="15" customHeight="1">
      <c r="A78" s="29">
        <v>3</v>
      </c>
      <c r="B78" s="29">
        <v>6</v>
      </c>
      <c r="C78" s="29">
        <v>1</v>
      </c>
      <c r="D78" s="29">
        <v>1</v>
      </c>
      <c r="E78" s="29">
        <v>20</v>
      </c>
      <c r="F78" s="29" t="s">
        <v>84</v>
      </c>
      <c r="G78" s="110">
        <v>209000000</v>
      </c>
      <c r="I78" s="327">
        <v>0</v>
      </c>
      <c r="J78" s="327"/>
      <c r="M78" s="111">
        <f>+G78+J78+L78-K78-I78</f>
        <v>209000000</v>
      </c>
      <c r="O78" s="110">
        <v>209000000</v>
      </c>
      <c r="P78" s="110">
        <v>209000000</v>
      </c>
      <c r="Q78" s="110">
        <v>209000000</v>
      </c>
      <c r="R78" s="110">
        <v>209000000</v>
      </c>
      <c r="S78" s="139"/>
      <c r="T78" s="148">
        <f t="shared" si="12"/>
        <v>0</v>
      </c>
      <c r="U78" s="110">
        <f t="shared" si="18"/>
        <v>0</v>
      </c>
      <c r="V78" s="110">
        <f t="shared" si="18"/>
        <v>0</v>
      </c>
      <c r="W78" s="147">
        <f t="shared" si="18"/>
        <v>0</v>
      </c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</row>
    <row r="79" spans="1:43" s="29" customFormat="1" ht="15" customHeight="1">
      <c r="A79" s="29">
        <v>3</v>
      </c>
      <c r="B79" s="29">
        <v>6</v>
      </c>
      <c r="C79" s="29">
        <v>1</v>
      </c>
      <c r="D79" s="29">
        <v>1</v>
      </c>
      <c r="E79" s="29">
        <v>21</v>
      </c>
      <c r="F79" s="29" t="s">
        <v>84</v>
      </c>
      <c r="G79" s="110">
        <v>380000000</v>
      </c>
      <c r="I79" s="327">
        <v>33000000</v>
      </c>
      <c r="J79" s="327"/>
      <c r="M79" s="111">
        <f>+G79+J79+L79-K79-I79</f>
        <v>347000000</v>
      </c>
      <c r="O79" s="110">
        <v>341000000</v>
      </c>
      <c r="P79" s="110">
        <v>341000000</v>
      </c>
      <c r="Q79" s="110">
        <v>341000000</v>
      </c>
      <c r="R79" s="110">
        <v>341000000</v>
      </c>
      <c r="S79" s="139"/>
      <c r="T79" s="148">
        <f t="shared" si="12"/>
        <v>6000000</v>
      </c>
      <c r="U79" s="110">
        <f t="shared" si="18"/>
        <v>0</v>
      </c>
      <c r="V79" s="110">
        <f t="shared" si="18"/>
        <v>0</v>
      </c>
      <c r="W79" s="147">
        <f t="shared" si="18"/>
        <v>0</v>
      </c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</row>
    <row r="80" spans="1:43" s="66" customFormat="1" ht="15" customHeight="1">
      <c r="A80" s="110"/>
      <c r="B80" s="110"/>
      <c r="C80" s="110"/>
      <c r="D80" s="110"/>
      <c r="E80" s="110"/>
      <c r="F80" s="110"/>
      <c r="G80" s="110"/>
      <c r="H80" s="110"/>
      <c r="I80" s="324"/>
      <c r="J80" s="324"/>
      <c r="K80" s="118"/>
      <c r="L80" s="118"/>
      <c r="M80" s="111"/>
      <c r="N80" s="111"/>
      <c r="O80" s="119"/>
      <c r="P80" s="119"/>
      <c r="Q80" s="119"/>
      <c r="R80" s="119"/>
      <c r="S80" s="124"/>
      <c r="T80" s="146"/>
      <c r="U80" s="119"/>
      <c r="V80" s="119"/>
      <c r="W80" s="149"/>
      <c r="X80" s="92"/>
      <c r="Y80" s="92"/>
      <c r="Z80" s="92"/>
      <c r="AA80" s="298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1"/>
      <c r="AP80" s="291"/>
      <c r="AQ80" s="291"/>
    </row>
    <row r="81" spans="1:43" s="66" customFormat="1" ht="15" customHeight="1">
      <c r="A81" s="110"/>
      <c r="B81" s="110"/>
      <c r="C81" s="110"/>
      <c r="D81" s="110"/>
      <c r="E81" s="110"/>
      <c r="F81" s="125" t="s">
        <v>85</v>
      </c>
      <c r="G81" s="108">
        <f>SUM(G83:G88)</f>
        <v>1290845000</v>
      </c>
      <c r="H81" s="110"/>
      <c r="I81" s="108">
        <f>SUM(I83:I88)</f>
        <v>0</v>
      </c>
      <c r="J81" s="108">
        <f>SUM(J83:J88)</f>
        <v>0</v>
      </c>
      <c r="K81" s="108">
        <f>SUM(K83:K88)</f>
        <v>100000000</v>
      </c>
      <c r="L81" s="108">
        <f>SUM(L83:L88)</f>
        <v>0</v>
      </c>
      <c r="M81" s="108">
        <f>SUM(M83:M88)</f>
        <v>1190845000</v>
      </c>
      <c r="N81" s="111"/>
      <c r="O81" s="113">
        <f>SUM(O83:O88)</f>
        <v>1052567774</v>
      </c>
      <c r="P81" s="113">
        <f>SUM(P83:P88)</f>
        <v>1052567774</v>
      </c>
      <c r="Q81" s="113">
        <f>SUM(Q83:Q88)</f>
        <v>872783011</v>
      </c>
      <c r="R81" s="113">
        <f>SUM(R83:R88)</f>
        <v>766989611</v>
      </c>
      <c r="S81" s="124"/>
      <c r="T81" s="142">
        <f>+M81-O81</f>
        <v>138277226</v>
      </c>
      <c r="U81" s="113">
        <f>SUM(U83:U88)</f>
        <v>0</v>
      </c>
      <c r="V81" s="113">
        <f>SUM(V83:V88)</f>
        <v>179784763</v>
      </c>
      <c r="W81" s="151">
        <f>SUM(W83:W88)</f>
        <v>105793400</v>
      </c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  <c r="AM81" s="291"/>
      <c r="AN81" s="291"/>
      <c r="AO81" s="291"/>
      <c r="AP81" s="291"/>
      <c r="AQ81" s="291"/>
    </row>
    <row r="82" spans="1:43" s="67" customFormat="1" ht="15" customHeight="1">
      <c r="A82" s="110"/>
      <c r="B82" s="110"/>
      <c r="C82" s="110"/>
      <c r="D82" s="110"/>
      <c r="E82" s="110"/>
      <c r="F82" s="110"/>
      <c r="G82" s="110"/>
      <c r="H82" s="108"/>
      <c r="I82" s="108"/>
      <c r="J82" s="108"/>
      <c r="K82" s="114"/>
      <c r="L82" s="114"/>
      <c r="M82" s="108"/>
      <c r="N82" s="116"/>
      <c r="O82" s="108"/>
      <c r="P82" s="108"/>
      <c r="Q82" s="108"/>
      <c r="R82" s="108"/>
      <c r="S82" s="126"/>
      <c r="T82" s="142"/>
      <c r="U82" s="119"/>
      <c r="V82" s="119"/>
      <c r="W82" s="149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</row>
    <row r="83" spans="1:43" s="66" customFormat="1" ht="38.25" customHeight="1">
      <c r="A83" s="110">
        <v>123</v>
      </c>
      <c r="B83" s="127">
        <v>1000</v>
      </c>
      <c r="C83" s="110">
        <v>1</v>
      </c>
      <c r="D83" s="110"/>
      <c r="E83" s="110">
        <v>20</v>
      </c>
      <c r="F83" s="128" t="s">
        <v>91</v>
      </c>
      <c r="G83" s="110">
        <v>217000000</v>
      </c>
      <c r="H83" s="110"/>
      <c r="I83" s="110">
        <f aca="true" t="shared" si="19" ref="I83:L84">+I84</f>
        <v>0</v>
      </c>
      <c r="J83" s="110">
        <f t="shared" si="19"/>
        <v>0</v>
      </c>
      <c r="K83" s="122">
        <f t="shared" si="19"/>
        <v>0</v>
      </c>
      <c r="L83" s="122">
        <f t="shared" si="19"/>
        <v>0</v>
      </c>
      <c r="M83" s="111">
        <f aca="true" t="shared" si="20" ref="M83:M88">+G83+J83+L83-K83-I83</f>
        <v>217000000</v>
      </c>
      <c r="N83" s="111"/>
      <c r="O83" s="110">
        <f>10672000+35000000+134900000-29420000-2096600</f>
        <v>149055400</v>
      </c>
      <c r="P83" s="110">
        <f>10672000+34900000+70580000+32903400</f>
        <v>149055400</v>
      </c>
      <c r="Q83" s="110">
        <f>10672000+34900000+103483400</f>
        <v>149055400</v>
      </c>
      <c r="R83" s="110">
        <f>10672000+34900000</f>
        <v>45572000</v>
      </c>
      <c r="S83" s="124"/>
      <c r="T83" s="146">
        <f t="shared" si="10"/>
        <v>67944600</v>
      </c>
      <c r="U83" s="110">
        <f aca="true" t="shared" si="21" ref="U83:W86">+O83-P83</f>
        <v>0</v>
      </c>
      <c r="V83" s="110">
        <f t="shared" si="21"/>
        <v>0</v>
      </c>
      <c r="W83" s="147">
        <f t="shared" si="21"/>
        <v>103483400</v>
      </c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  <c r="AM83" s="291"/>
      <c r="AN83" s="291"/>
      <c r="AO83" s="291"/>
      <c r="AP83" s="291"/>
      <c r="AQ83" s="291"/>
    </row>
    <row r="84" spans="1:43" s="66" customFormat="1" ht="31.5" customHeight="1">
      <c r="A84" s="110">
        <v>510</v>
      </c>
      <c r="B84" s="127">
        <v>1000</v>
      </c>
      <c r="C84" s="110">
        <v>1</v>
      </c>
      <c r="D84" s="110"/>
      <c r="E84" s="110">
        <v>20</v>
      </c>
      <c r="F84" s="128" t="s">
        <v>87</v>
      </c>
      <c r="G84" s="110">
        <v>43643000</v>
      </c>
      <c r="H84" s="110"/>
      <c r="I84" s="110">
        <f t="shared" si="19"/>
        <v>0</v>
      </c>
      <c r="J84" s="110">
        <f t="shared" si="19"/>
        <v>0</v>
      </c>
      <c r="K84" s="122">
        <f t="shared" si="19"/>
        <v>0</v>
      </c>
      <c r="L84" s="122">
        <f t="shared" si="19"/>
        <v>0</v>
      </c>
      <c r="M84" s="111">
        <f t="shared" si="20"/>
        <v>43643000</v>
      </c>
      <c r="N84" s="111"/>
      <c r="O84" s="110">
        <f>16390800+1700000+7022740+10857600+5892800</f>
        <v>41863940</v>
      </c>
      <c r="P84" s="110">
        <f>18090800+7022740+10857600+5892800</f>
        <v>41863940</v>
      </c>
      <c r="Q84" s="110">
        <f>16390800+7022740+1700000+3897600+12852800</f>
        <v>41863940</v>
      </c>
      <c r="R84" s="110">
        <f>16390800+7022740+1700000+3897600+12852800</f>
        <v>41863940</v>
      </c>
      <c r="S84" s="124"/>
      <c r="T84" s="146">
        <f t="shared" si="10"/>
        <v>1779060</v>
      </c>
      <c r="U84" s="110">
        <f t="shared" si="21"/>
        <v>0</v>
      </c>
      <c r="V84" s="110">
        <f t="shared" si="21"/>
        <v>0</v>
      </c>
      <c r="W84" s="147">
        <f t="shared" si="21"/>
        <v>0</v>
      </c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</row>
    <row r="85" spans="1:43" s="66" customFormat="1" ht="41.25" customHeight="1">
      <c r="A85" s="110">
        <v>520</v>
      </c>
      <c r="B85" s="127">
        <v>1000</v>
      </c>
      <c r="C85" s="110">
        <v>5</v>
      </c>
      <c r="D85" s="110"/>
      <c r="E85" s="110">
        <v>20</v>
      </c>
      <c r="F85" s="128" t="s">
        <v>92</v>
      </c>
      <c r="G85" s="110">
        <v>109620000</v>
      </c>
      <c r="H85" s="110"/>
      <c r="I85" s="110">
        <v>0</v>
      </c>
      <c r="J85" s="110">
        <v>0</v>
      </c>
      <c r="K85" s="122">
        <v>0</v>
      </c>
      <c r="L85" s="122">
        <v>0</v>
      </c>
      <c r="M85" s="111">
        <f t="shared" si="20"/>
        <v>109620000</v>
      </c>
      <c r="N85" s="111"/>
      <c r="O85" s="111">
        <f>33250000+56700000</f>
        <v>89950000</v>
      </c>
      <c r="P85" s="111">
        <f>33250000+56700000</f>
        <v>89950000</v>
      </c>
      <c r="Q85" s="110">
        <f>3500000+9800000+3500000+9800000+16100000+9800000+9800000+9800000+9800000+8050000</f>
        <v>89950000</v>
      </c>
      <c r="R85" s="110">
        <f>3500000+9800000+3500000+9800000+16100000+9800000+3500000+12600000+9800000+9240000</f>
        <v>87640000</v>
      </c>
      <c r="S85" s="124"/>
      <c r="T85" s="146">
        <f t="shared" si="10"/>
        <v>19670000</v>
      </c>
      <c r="U85" s="110">
        <f t="shared" si="21"/>
        <v>0</v>
      </c>
      <c r="V85" s="119">
        <f t="shared" si="21"/>
        <v>0</v>
      </c>
      <c r="W85" s="147">
        <f t="shared" si="21"/>
        <v>2310000</v>
      </c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  <c r="AM85" s="291"/>
      <c r="AN85" s="291"/>
      <c r="AO85" s="291"/>
      <c r="AP85" s="291"/>
      <c r="AQ85" s="291"/>
    </row>
    <row r="86" spans="1:43" s="66" customFormat="1" ht="27.75" customHeight="1">
      <c r="A86" s="110">
        <v>520</v>
      </c>
      <c r="B86" s="127">
        <v>1503</v>
      </c>
      <c r="C86" s="110">
        <v>1</v>
      </c>
      <c r="D86" s="110"/>
      <c r="E86" s="110">
        <v>20</v>
      </c>
      <c r="F86" s="128" t="s">
        <v>88</v>
      </c>
      <c r="G86" s="110">
        <v>728500000</v>
      </c>
      <c r="H86" s="110"/>
      <c r="I86" s="110">
        <v>0</v>
      </c>
      <c r="J86" s="110">
        <v>0</v>
      </c>
      <c r="K86" s="122">
        <v>100000000</v>
      </c>
      <c r="L86" s="122">
        <v>0</v>
      </c>
      <c r="M86" s="111">
        <f t="shared" si="20"/>
        <v>628500000</v>
      </c>
      <c r="N86" s="111"/>
      <c r="O86" s="110">
        <f>628500000-52066</f>
        <v>628447934</v>
      </c>
      <c r="P86" s="111">
        <f>550534711+77913223</f>
        <v>628447934</v>
      </c>
      <c r="Q86" s="111">
        <f>165160413+70177717+96343574+116981467</f>
        <v>448663171</v>
      </c>
      <c r="R86" s="111">
        <f>165160413+70177717+96343574+116981467</f>
        <v>448663171</v>
      </c>
      <c r="S86" s="124"/>
      <c r="T86" s="110">
        <f t="shared" si="10"/>
        <v>52066</v>
      </c>
      <c r="U86" s="110">
        <f t="shared" si="21"/>
        <v>0</v>
      </c>
      <c r="V86" s="119">
        <f>+P86-Q86</f>
        <v>179784763</v>
      </c>
      <c r="W86" s="147">
        <f>+Q86-R86</f>
        <v>0</v>
      </c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  <c r="AM86" s="291"/>
      <c r="AN86" s="291"/>
      <c r="AO86" s="291"/>
      <c r="AP86" s="291"/>
      <c r="AQ86" s="291"/>
    </row>
    <row r="87" spans="1:43" s="66" customFormat="1" ht="27" customHeight="1">
      <c r="A87" s="110">
        <v>520</v>
      </c>
      <c r="B87" s="127">
        <v>1503</v>
      </c>
      <c r="C87" s="110">
        <v>2</v>
      </c>
      <c r="D87" s="110"/>
      <c r="E87" s="110">
        <v>20</v>
      </c>
      <c r="F87" s="128" t="s">
        <v>89</v>
      </c>
      <c r="G87" s="110">
        <v>15000000</v>
      </c>
      <c r="H87" s="110"/>
      <c r="I87" s="110">
        <v>0</v>
      </c>
      <c r="J87" s="110">
        <v>0</v>
      </c>
      <c r="K87" s="122">
        <v>0</v>
      </c>
      <c r="L87" s="122">
        <v>0</v>
      </c>
      <c r="M87" s="111">
        <f t="shared" si="20"/>
        <v>15000000</v>
      </c>
      <c r="N87" s="111"/>
      <c r="O87" s="110">
        <v>13456000</v>
      </c>
      <c r="P87" s="111">
        <v>13456000</v>
      </c>
      <c r="Q87" s="111">
        <v>13456000</v>
      </c>
      <c r="R87" s="111">
        <v>13456000</v>
      </c>
      <c r="S87" s="124"/>
      <c r="T87" s="146">
        <f t="shared" si="10"/>
        <v>1544000</v>
      </c>
      <c r="U87" s="110">
        <f aca="true" t="shared" si="22" ref="U87:W88">+O87-P87</f>
        <v>0</v>
      </c>
      <c r="V87" s="110">
        <f t="shared" si="22"/>
        <v>0</v>
      </c>
      <c r="W87" s="147">
        <f t="shared" si="22"/>
        <v>0</v>
      </c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  <c r="AM87" s="291"/>
      <c r="AN87" s="291"/>
      <c r="AO87" s="291"/>
      <c r="AP87" s="291"/>
      <c r="AQ87" s="291"/>
    </row>
    <row r="88" spans="1:43" s="66" customFormat="1" ht="40.5" customHeight="1" thickBot="1">
      <c r="A88" s="110">
        <v>520</v>
      </c>
      <c r="B88" s="127">
        <v>1503</v>
      </c>
      <c r="C88" s="110">
        <v>3</v>
      </c>
      <c r="D88" s="110"/>
      <c r="E88" s="110">
        <v>20</v>
      </c>
      <c r="F88" s="128" t="s">
        <v>93</v>
      </c>
      <c r="G88" s="110">
        <v>177082000</v>
      </c>
      <c r="H88" s="110"/>
      <c r="I88" s="324">
        <v>0</v>
      </c>
      <c r="J88" s="324">
        <v>0</v>
      </c>
      <c r="K88" s="118">
        <v>0</v>
      </c>
      <c r="L88" s="118">
        <v>0</v>
      </c>
      <c r="M88" s="111">
        <f t="shared" si="20"/>
        <v>177082000</v>
      </c>
      <c r="N88" s="111"/>
      <c r="O88" s="111">
        <f>71250000+20805824+6849800+9948879+40000000-12310001-6750002</f>
        <v>129794500</v>
      </c>
      <c r="P88" s="111">
        <f>71250000+6849800+20805824+9948879+27689999-6750002</f>
        <v>129794500</v>
      </c>
      <c r="Q88" s="111">
        <f>7500000+7500000+9849800+12000000+38254703+7500000+7500000+7500000+30689997+1500000</f>
        <v>129794500</v>
      </c>
      <c r="R88" s="111">
        <f>7500000+7500000+3000000+18849800+7500000+38254703+7500000+7500000+3000000+29189997</f>
        <v>129794500</v>
      </c>
      <c r="S88" s="124"/>
      <c r="T88" s="146">
        <f t="shared" si="10"/>
        <v>47287500</v>
      </c>
      <c r="U88" s="110">
        <f t="shared" si="22"/>
        <v>0</v>
      </c>
      <c r="V88" s="119">
        <f t="shared" si="22"/>
        <v>0</v>
      </c>
      <c r="W88" s="147">
        <f t="shared" si="22"/>
        <v>0</v>
      </c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  <c r="AM88" s="291"/>
      <c r="AN88" s="291"/>
      <c r="AO88" s="291"/>
      <c r="AP88" s="291"/>
      <c r="AQ88" s="291"/>
    </row>
    <row r="89" spans="1:43" s="66" customFormat="1" ht="18.75" customHeight="1" thickBot="1">
      <c r="A89" s="153"/>
      <c r="B89" s="153"/>
      <c r="C89" s="153"/>
      <c r="D89" s="153"/>
      <c r="E89" s="153"/>
      <c r="F89" s="315" t="s">
        <v>95</v>
      </c>
      <c r="G89" s="316">
        <f>SUM(G81+G71+G49+G10)</f>
        <v>6995134080</v>
      </c>
      <c r="H89" s="154"/>
      <c r="I89" s="316">
        <f>SUM(I81+I71+I49+I10)</f>
        <v>33000000</v>
      </c>
      <c r="J89" s="316">
        <f>SUM(J81+J71+J49+J10)</f>
        <v>0</v>
      </c>
      <c r="K89" s="316">
        <f>SUM(K81+K71+K49+K10)</f>
        <v>100000000</v>
      </c>
      <c r="L89" s="316">
        <f>SUM(L81+L71+L49+L10)</f>
        <v>0</v>
      </c>
      <c r="M89" s="316">
        <f>SUM(M81+M71+M49+M10)</f>
        <v>6820980403</v>
      </c>
      <c r="N89" s="155"/>
      <c r="O89" s="316">
        <f>SUM(O81+O71+O49+O10)</f>
        <v>6612632068</v>
      </c>
      <c r="P89" s="316">
        <f>SUM(P81+P71+P49+P10)</f>
        <v>6602846953</v>
      </c>
      <c r="Q89" s="316">
        <f>SUM(Q81+Q71+Q49+Q10)</f>
        <v>6418251778</v>
      </c>
      <c r="R89" s="316">
        <f>SUM(R81+R71+R49+R10)</f>
        <v>6312417202</v>
      </c>
      <c r="S89" s="156"/>
      <c r="T89" s="316">
        <f>SUM(T81+T71+T49+T10)</f>
        <v>208348335</v>
      </c>
      <c r="U89" s="316">
        <f>SUM(U81+U71+U49+U10)</f>
        <v>9785115</v>
      </c>
      <c r="V89" s="316">
        <f>SUM(V81+V71+V49+V10)</f>
        <v>184595175</v>
      </c>
      <c r="W89" s="316">
        <f>SUM(W81+W71+W49+W10)</f>
        <v>105834576</v>
      </c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  <c r="AM89" s="291"/>
      <c r="AN89" s="291"/>
      <c r="AO89" s="291"/>
      <c r="AP89" s="291"/>
      <c r="AQ89" s="291"/>
    </row>
    <row r="90" spans="1:43" s="66" customFormat="1" ht="12.75">
      <c r="A90" s="80"/>
      <c r="B90" s="81"/>
      <c r="C90" s="81"/>
      <c r="D90" s="81"/>
      <c r="E90" s="81"/>
      <c r="F90" s="82"/>
      <c r="G90" s="36"/>
      <c r="H90" s="83"/>
      <c r="I90" s="328"/>
      <c r="J90" s="328"/>
      <c r="K90" s="100"/>
      <c r="L90" s="100"/>
      <c r="M90" s="36"/>
      <c r="N90" s="36"/>
      <c r="O90" s="36"/>
      <c r="P90" s="36"/>
      <c r="Q90" s="36"/>
      <c r="R90" s="36"/>
      <c r="S90" s="45"/>
      <c r="T90" s="45"/>
      <c r="U90" s="45"/>
      <c r="V90" s="45"/>
      <c r="W90" s="7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  <c r="AM90" s="291"/>
      <c r="AN90" s="291"/>
      <c r="AO90" s="291"/>
      <c r="AP90" s="291"/>
      <c r="AQ90" s="291"/>
    </row>
    <row r="91" spans="1:43" s="66" customFormat="1" ht="12.75">
      <c r="A91" s="84"/>
      <c r="B91" s="77"/>
      <c r="C91" s="77"/>
      <c r="D91" s="77"/>
      <c r="E91" s="77"/>
      <c r="F91" s="78"/>
      <c r="G91" s="15"/>
      <c r="H91" s="79"/>
      <c r="I91" s="13"/>
      <c r="J91" s="13"/>
      <c r="K91" s="99"/>
      <c r="L91" s="99"/>
      <c r="M91" s="15"/>
      <c r="N91" s="15"/>
      <c r="O91" s="15"/>
      <c r="P91" s="15"/>
      <c r="Q91" s="15"/>
      <c r="R91" s="15"/>
      <c r="S91" s="46"/>
      <c r="T91" s="46"/>
      <c r="U91" s="46"/>
      <c r="V91" s="46"/>
      <c r="W91" s="72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  <c r="AM91" s="291"/>
      <c r="AN91" s="291"/>
      <c r="AO91" s="291"/>
      <c r="AP91" s="291"/>
      <c r="AQ91" s="291"/>
    </row>
    <row r="92" spans="1:43" s="66" customFormat="1" ht="12.75">
      <c r="A92" s="84"/>
      <c r="B92" s="77"/>
      <c r="C92" s="77"/>
      <c r="D92" s="77"/>
      <c r="E92" s="77"/>
      <c r="F92" s="78"/>
      <c r="G92" s="15"/>
      <c r="H92" s="79"/>
      <c r="I92" s="13"/>
      <c r="J92" s="13"/>
      <c r="K92" s="99"/>
      <c r="L92" s="99"/>
      <c r="M92" s="15"/>
      <c r="N92" s="15"/>
      <c r="O92" s="15"/>
      <c r="P92" s="15"/>
      <c r="Q92" s="15"/>
      <c r="R92" s="15"/>
      <c r="S92" s="46"/>
      <c r="T92" s="46"/>
      <c r="U92" s="46"/>
      <c r="V92" s="46"/>
      <c r="W92" s="72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  <c r="AM92" s="291"/>
      <c r="AN92" s="291"/>
      <c r="AO92" s="291"/>
      <c r="AP92" s="291"/>
      <c r="AQ92" s="291"/>
    </row>
    <row r="93" spans="1:43" s="66" customFormat="1" ht="12.75">
      <c r="A93" s="85"/>
      <c r="B93" s="77"/>
      <c r="C93" s="77"/>
      <c r="D93" s="77"/>
      <c r="E93" s="86" t="s">
        <v>97</v>
      </c>
      <c r="F93" s="78"/>
      <c r="G93" s="15"/>
      <c r="H93" s="79"/>
      <c r="I93" s="13"/>
      <c r="J93" s="13"/>
      <c r="K93" s="99"/>
      <c r="L93" s="99"/>
      <c r="M93" s="15"/>
      <c r="N93" s="15"/>
      <c r="O93" s="15"/>
      <c r="P93" s="87" t="s">
        <v>94</v>
      </c>
      <c r="Q93" s="15"/>
      <c r="R93" s="15"/>
      <c r="S93" s="46"/>
      <c r="T93" s="46"/>
      <c r="U93" s="46"/>
      <c r="V93" s="46"/>
      <c r="W93" s="72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  <c r="AM93" s="291"/>
      <c r="AN93" s="291"/>
      <c r="AO93" s="291"/>
      <c r="AP93" s="291"/>
      <c r="AQ93" s="291"/>
    </row>
    <row r="94" spans="1:43" s="66" customFormat="1" ht="12.75">
      <c r="A94" s="84"/>
      <c r="B94" s="77"/>
      <c r="C94" s="77"/>
      <c r="D94" s="77"/>
      <c r="E94" s="77" t="s">
        <v>98</v>
      </c>
      <c r="F94" s="78"/>
      <c r="G94" s="15"/>
      <c r="H94" s="79"/>
      <c r="I94" s="13"/>
      <c r="J94" s="13"/>
      <c r="K94" s="99"/>
      <c r="L94" s="99"/>
      <c r="M94" s="15"/>
      <c r="N94" s="15"/>
      <c r="O94" s="15"/>
      <c r="P94" s="41" t="s">
        <v>51</v>
      </c>
      <c r="Q94" s="15"/>
      <c r="R94" s="15"/>
      <c r="S94" s="46"/>
      <c r="T94" s="46"/>
      <c r="U94" s="46"/>
      <c r="V94" s="46"/>
      <c r="W94" s="72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  <c r="AM94" s="291"/>
      <c r="AN94" s="291"/>
      <c r="AO94" s="291"/>
      <c r="AP94" s="291"/>
      <c r="AQ94" s="291"/>
    </row>
    <row r="95" spans="1:43" s="66" customFormat="1" ht="13.5" thickBot="1">
      <c r="A95" s="88"/>
      <c r="B95" s="89"/>
      <c r="C95" s="89"/>
      <c r="D95" s="89"/>
      <c r="E95" s="89"/>
      <c r="F95" s="90"/>
      <c r="G95" s="37"/>
      <c r="H95" s="91"/>
      <c r="I95" s="329"/>
      <c r="J95" s="329"/>
      <c r="K95" s="101"/>
      <c r="L95" s="101"/>
      <c r="M95" s="37"/>
      <c r="N95" s="37"/>
      <c r="O95" s="37"/>
      <c r="P95" s="37"/>
      <c r="Q95" s="37"/>
      <c r="R95" s="37"/>
      <c r="S95" s="47"/>
      <c r="T95" s="47"/>
      <c r="U95" s="47"/>
      <c r="V95" s="47"/>
      <c r="W95" s="73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  <c r="AP95" s="291"/>
      <c r="AQ95" s="291"/>
    </row>
    <row r="96" spans="6:43" s="66" customFormat="1" ht="12.75">
      <c r="F96" s="74"/>
      <c r="G96" s="38"/>
      <c r="H96" s="39"/>
      <c r="I96" s="38"/>
      <c r="J96" s="38"/>
      <c r="K96" s="102"/>
      <c r="L96" s="102"/>
      <c r="M96" s="40"/>
      <c r="N96" s="41"/>
      <c r="O96" s="40"/>
      <c r="P96" s="40"/>
      <c r="Q96" s="40"/>
      <c r="R96" s="40"/>
      <c r="S96" s="5"/>
      <c r="U96" s="70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  <c r="AM96" s="291"/>
      <c r="AN96" s="291"/>
      <c r="AO96" s="291"/>
      <c r="AP96" s="291"/>
      <c r="AQ96" s="291"/>
    </row>
    <row r="97" spans="6:43" s="66" customFormat="1" ht="12.75">
      <c r="F97" s="74"/>
      <c r="G97" s="38"/>
      <c r="H97" s="39"/>
      <c r="I97" s="38"/>
      <c r="J97" s="38"/>
      <c r="K97" s="102"/>
      <c r="L97" s="102"/>
      <c r="M97" s="40"/>
      <c r="N97" s="41"/>
      <c r="O97" s="40"/>
      <c r="P97" s="40"/>
      <c r="Q97" s="40"/>
      <c r="R97" s="40"/>
      <c r="S97" s="5"/>
      <c r="U97" s="70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  <c r="AM97" s="291"/>
      <c r="AN97" s="291"/>
      <c r="AO97" s="291"/>
      <c r="AP97" s="291"/>
      <c r="AQ97" s="291"/>
    </row>
    <row r="98" spans="6:43" s="66" customFormat="1" ht="12.75">
      <c r="F98" s="74"/>
      <c r="G98" s="38"/>
      <c r="H98" s="39"/>
      <c r="I98" s="38"/>
      <c r="J98" s="38"/>
      <c r="K98" s="102"/>
      <c r="L98" s="102"/>
      <c r="M98" s="40"/>
      <c r="N98" s="41"/>
      <c r="O98" s="40"/>
      <c r="P98" s="40"/>
      <c r="Q98" s="40"/>
      <c r="R98" s="40"/>
      <c r="S98" s="5"/>
      <c r="U98" s="70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  <c r="AM98" s="291"/>
      <c r="AN98" s="291"/>
      <c r="AO98" s="291"/>
      <c r="AP98" s="291"/>
      <c r="AQ98" s="291"/>
    </row>
    <row r="99" spans="6:43" s="66" customFormat="1" ht="12.75">
      <c r="F99" s="74"/>
      <c r="G99" s="38"/>
      <c r="H99" s="39"/>
      <c r="I99" s="38"/>
      <c r="J99" s="38"/>
      <c r="K99" s="102"/>
      <c r="L99" s="102"/>
      <c r="M99" s="40"/>
      <c r="N99" s="41"/>
      <c r="O99" s="40"/>
      <c r="P99" s="40"/>
      <c r="Q99" s="40"/>
      <c r="R99" s="40"/>
      <c r="S99" s="5"/>
      <c r="U99" s="70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  <c r="AM99" s="291"/>
      <c r="AN99" s="291"/>
      <c r="AO99" s="291"/>
      <c r="AP99" s="291"/>
      <c r="AQ99" s="291"/>
    </row>
    <row r="100" spans="6:43" s="66" customFormat="1" ht="12.75">
      <c r="F100" s="74"/>
      <c r="G100" s="38"/>
      <c r="H100" s="39"/>
      <c r="I100" s="38"/>
      <c r="J100" s="38"/>
      <c r="K100" s="102"/>
      <c r="L100" s="102"/>
      <c r="M100" s="40"/>
      <c r="N100" s="41"/>
      <c r="O100" s="40"/>
      <c r="P100" s="40"/>
      <c r="Q100" s="40"/>
      <c r="R100" s="40"/>
      <c r="S100" s="5"/>
      <c r="U100" s="70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91"/>
      <c r="AO100" s="291"/>
      <c r="AP100" s="291"/>
      <c r="AQ100" s="291"/>
    </row>
    <row r="101" spans="6:43" s="66" customFormat="1" ht="12.75">
      <c r="F101" s="74"/>
      <c r="G101" s="38"/>
      <c r="H101" s="39"/>
      <c r="I101" s="38"/>
      <c r="J101" s="38"/>
      <c r="K101" s="102"/>
      <c r="L101" s="102"/>
      <c r="M101" s="40"/>
      <c r="N101" s="41"/>
      <c r="O101" s="40"/>
      <c r="P101" s="40"/>
      <c r="Q101" s="40"/>
      <c r="R101" s="40"/>
      <c r="S101" s="5"/>
      <c r="U101" s="70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  <c r="AM101" s="291"/>
      <c r="AN101" s="291"/>
      <c r="AO101" s="291"/>
      <c r="AP101" s="291"/>
      <c r="AQ101" s="291"/>
    </row>
    <row r="102" spans="6:43" s="66" customFormat="1" ht="12.75">
      <c r="F102" s="74"/>
      <c r="G102" s="38"/>
      <c r="H102" s="39"/>
      <c r="I102" s="38"/>
      <c r="J102" s="38"/>
      <c r="K102" s="102"/>
      <c r="L102" s="102"/>
      <c r="M102" s="40"/>
      <c r="N102" s="41"/>
      <c r="O102" s="40"/>
      <c r="P102" s="40"/>
      <c r="Q102" s="40"/>
      <c r="R102" s="40"/>
      <c r="S102" s="5"/>
      <c r="U102" s="70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  <c r="AM102" s="291"/>
      <c r="AN102" s="291"/>
      <c r="AO102" s="291"/>
      <c r="AP102" s="291"/>
      <c r="AQ102" s="291"/>
    </row>
    <row r="103" spans="6:43" s="66" customFormat="1" ht="12.75">
      <c r="F103" s="74"/>
      <c r="G103" s="38"/>
      <c r="H103" s="39"/>
      <c r="I103" s="38"/>
      <c r="J103" s="38"/>
      <c r="K103" s="102"/>
      <c r="L103" s="102"/>
      <c r="M103" s="40"/>
      <c r="N103" s="41"/>
      <c r="O103" s="40"/>
      <c r="P103" s="40"/>
      <c r="Q103" s="40"/>
      <c r="R103" s="40"/>
      <c r="S103" s="5"/>
      <c r="U103" s="70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  <c r="AM103" s="291"/>
      <c r="AN103" s="291"/>
      <c r="AO103" s="291"/>
      <c r="AP103" s="291"/>
      <c r="AQ103" s="291"/>
    </row>
    <row r="104" spans="6:43" s="66" customFormat="1" ht="12.75">
      <c r="F104" s="74"/>
      <c r="G104" s="38"/>
      <c r="H104" s="39"/>
      <c r="I104" s="38"/>
      <c r="J104" s="38"/>
      <c r="K104" s="102"/>
      <c r="L104" s="102"/>
      <c r="M104" s="40"/>
      <c r="N104" s="41"/>
      <c r="O104" s="40"/>
      <c r="P104" s="40"/>
      <c r="Q104" s="40"/>
      <c r="R104" s="40"/>
      <c r="S104" s="5"/>
      <c r="U104" s="70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91"/>
      <c r="AO104" s="291"/>
      <c r="AP104" s="291"/>
      <c r="AQ104" s="291"/>
    </row>
    <row r="105" spans="6:43" s="66" customFormat="1" ht="12.75">
      <c r="F105" s="74"/>
      <c r="G105" s="38"/>
      <c r="H105" s="39"/>
      <c r="I105" s="38"/>
      <c r="J105" s="38"/>
      <c r="K105" s="102"/>
      <c r="L105" s="102"/>
      <c r="M105" s="40"/>
      <c r="N105" s="41"/>
      <c r="O105" s="40"/>
      <c r="P105" s="40"/>
      <c r="Q105" s="40"/>
      <c r="R105" s="40"/>
      <c r="S105" s="5"/>
      <c r="U105" s="70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  <c r="AM105" s="291"/>
      <c r="AN105" s="291"/>
      <c r="AO105" s="291"/>
      <c r="AP105" s="291"/>
      <c r="AQ105" s="291"/>
    </row>
    <row r="106" spans="6:43" s="66" customFormat="1" ht="12.75">
      <c r="F106" s="74"/>
      <c r="G106" s="38"/>
      <c r="H106" s="39"/>
      <c r="I106" s="38"/>
      <c r="J106" s="38"/>
      <c r="K106" s="102"/>
      <c r="L106" s="102"/>
      <c r="M106" s="40"/>
      <c r="N106" s="41"/>
      <c r="O106" s="40"/>
      <c r="P106" s="40"/>
      <c r="Q106" s="40"/>
      <c r="R106" s="40"/>
      <c r="S106" s="5"/>
      <c r="U106" s="70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  <c r="AM106" s="291"/>
      <c r="AN106" s="291"/>
      <c r="AO106" s="291"/>
      <c r="AP106" s="291"/>
      <c r="AQ106" s="291"/>
    </row>
    <row r="107" spans="6:43" s="66" customFormat="1" ht="12.75">
      <c r="F107" s="74"/>
      <c r="G107" s="38"/>
      <c r="H107" s="39"/>
      <c r="I107" s="38"/>
      <c r="J107" s="38"/>
      <c r="K107" s="102"/>
      <c r="L107" s="102"/>
      <c r="M107" s="40"/>
      <c r="N107" s="41"/>
      <c r="O107" s="40"/>
      <c r="P107" s="40"/>
      <c r="Q107" s="40"/>
      <c r="R107" s="40"/>
      <c r="S107" s="5"/>
      <c r="U107" s="70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  <c r="AM107" s="291"/>
      <c r="AN107" s="291"/>
      <c r="AO107" s="291"/>
      <c r="AP107" s="291"/>
      <c r="AQ107" s="291"/>
    </row>
    <row r="108" spans="6:43" s="66" customFormat="1" ht="12.75">
      <c r="F108" s="74"/>
      <c r="G108" s="38"/>
      <c r="H108" s="39"/>
      <c r="I108" s="38"/>
      <c r="J108" s="38"/>
      <c r="K108" s="102"/>
      <c r="L108" s="102"/>
      <c r="M108" s="40"/>
      <c r="N108" s="41"/>
      <c r="O108" s="40"/>
      <c r="P108" s="40"/>
      <c r="Q108" s="40"/>
      <c r="R108" s="40"/>
      <c r="S108" s="5"/>
      <c r="U108" s="70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  <c r="AM108" s="291"/>
      <c r="AN108" s="291"/>
      <c r="AO108" s="291"/>
      <c r="AP108" s="291"/>
      <c r="AQ108" s="291"/>
    </row>
    <row r="109" spans="6:43" s="66" customFormat="1" ht="12.75">
      <c r="F109" s="74"/>
      <c r="G109" s="38"/>
      <c r="H109" s="39"/>
      <c r="I109" s="38"/>
      <c r="J109" s="38"/>
      <c r="K109" s="102"/>
      <c r="L109" s="102"/>
      <c r="M109" s="40"/>
      <c r="N109" s="41"/>
      <c r="O109" s="40"/>
      <c r="P109" s="40"/>
      <c r="Q109" s="40"/>
      <c r="R109" s="40"/>
      <c r="S109" s="5"/>
      <c r="U109" s="70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  <c r="AM109" s="291"/>
      <c r="AN109" s="291"/>
      <c r="AO109" s="291"/>
      <c r="AP109" s="291"/>
      <c r="AQ109" s="291"/>
    </row>
    <row r="110" spans="6:43" s="66" customFormat="1" ht="12.75">
      <c r="F110" s="74"/>
      <c r="G110" s="38"/>
      <c r="H110" s="39"/>
      <c r="I110" s="38"/>
      <c r="J110" s="38"/>
      <c r="K110" s="102"/>
      <c r="L110" s="102"/>
      <c r="M110" s="40"/>
      <c r="N110" s="41"/>
      <c r="O110" s="40"/>
      <c r="P110" s="40"/>
      <c r="Q110" s="40"/>
      <c r="R110" s="40"/>
      <c r="S110" s="5"/>
      <c r="U110" s="70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  <c r="AP110" s="291"/>
      <c r="AQ110" s="291"/>
    </row>
    <row r="111" spans="6:43" s="66" customFormat="1" ht="12.75">
      <c r="F111" s="74"/>
      <c r="G111" s="38"/>
      <c r="H111" s="39"/>
      <c r="I111" s="38"/>
      <c r="J111" s="38"/>
      <c r="K111" s="102"/>
      <c r="L111" s="102"/>
      <c r="M111" s="40"/>
      <c r="N111" s="41"/>
      <c r="O111" s="40"/>
      <c r="P111" s="40"/>
      <c r="Q111" s="40"/>
      <c r="R111" s="40"/>
      <c r="S111" s="5"/>
      <c r="U111" s="70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</row>
    <row r="112" spans="6:43" s="66" customFormat="1" ht="12.75">
      <c r="F112" s="74"/>
      <c r="G112" s="38"/>
      <c r="H112" s="39"/>
      <c r="I112" s="38"/>
      <c r="J112" s="38"/>
      <c r="K112" s="102"/>
      <c r="L112" s="102"/>
      <c r="M112" s="40"/>
      <c r="N112" s="41"/>
      <c r="O112" s="40"/>
      <c r="P112" s="40"/>
      <c r="Q112" s="40"/>
      <c r="R112" s="40"/>
      <c r="S112" s="5"/>
      <c r="U112" s="70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</row>
    <row r="113" spans="6:43" s="66" customFormat="1" ht="12.75">
      <c r="F113" s="74"/>
      <c r="G113" s="38"/>
      <c r="H113" s="39"/>
      <c r="I113" s="38"/>
      <c r="J113" s="38"/>
      <c r="K113" s="102"/>
      <c r="L113" s="102"/>
      <c r="M113" s="40"/>
      <c r="N113" s="41"/>
      <c r="O113" s="40"/>
      <c r="P113" s="40"/>
      <c r="Q113" s="40"/>
      <c r="R113" s="40"/>
      <c r="S113" s="5"/>
      <c r="U113" s="70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  <c r="AM113" s="291"/>
      <c r="AN113" s="291"/>
      <c r="AO113" s="291"/>
      <c r="AP113" s="291"/>
      <c r="AQ113" s="291"/>
    </row>
    <row r="114" spans="6:43" s="66" customFormat="1" ht="12.75">
      <c r="F114" s="74"/>
      <c r="G114" s="38"/>
      <c r="H114" s="39"/>
      <c r="I114" s="38"/>
      <c r="J114" s="38"/>
      <c r="K114" s="102"/>
      <c r="L114" s="102"/>
      <c r="M114" s="40"/>
      <c r="N114" s="41"/>
      <c r="O114" s="40"/>
      <c r="P114" s="40"/>
      <c r="Q114" s="40"/>
      <c r="R114" s="40"/>
      <c r="S114" s="5"/>
      <c r="U114" s="70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291"/>
      <c r="AQ114" s="291"/>
    </row>
    <row r="115" spans="6:43" s="66" customFormat="1" ht="12.75">
      <c r="F115" s="74"/>
      <c r="G115" s="38"/>
      <c r="H115" s="39"/>
      <c r="I115" s="38"/>
      <c r="J115" s="38"/>
      <c r="K115" s="102"/>
      <c r="L115" s="102"/>
      <c r="M115" s="40"/>
      <c r="N115" s="41"/>
      <c r="O115" s="40"/>
      <c r="P115" s="40"/>
      <c r="Q115" s="40"/>
      <c r="R115" s="40"/>
      <c r="S115" s="5"/>
      <c r="U115" s="70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  <c r="AM115" s="291"/>
      <c r="AN115" s="291"/>
      <c r="AO115" s="291"/>
      <c r="AP115" s="291"/>
      <c r="AQ115" s="291"/>
    </row>
    <row r="116" spans="6:43" s="66" customFormat="1" ht="12.75">
      <c r="F116" s="74"/>
      <c r="G116" s="38"/>
      <c r="H116" s="39"/>
      <c r="I116" s="38"/>
      <c r="J116" s="38"/>
      <c r="K116" s="102"/>
      <c r="L116" s="102"/>
      <c r="M116" s="40"/>
      <c r="N116" s="41"/>
      <c r="O116" s="40"/>
      <c r="P116" s="40"/>
      <c r="Q116" s="40"/>
      <c r="R116" s="40"/>
      <c r="S116" s="5"/>
      <c r="U116" s="70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  <c r="AP116" s="291"/>
      <c r="AQ116" s="291"/>
    </row>
    <row r="117" spans="6:43" s="66" customFormat="1" ht="12.75">
      <c r="F117" s="74"/>
      <c r="G117" s="38"/>
      <c r="H117" s="39"/>
      <c r="I117" s="38"/>
      <c r="J117" s="38"/>
      <c r="K117" s="102"/>
      <c r="L117" s="102"/>
      <c r="M117" s="40"/>
      <c r="N117" s="41"/>
      <c r="O117" s="40"/>
      <c r="P117" s="40"/>
      <c r="Q117" s="40"/>
      <c r="R117" s="40"/>
      <c r="S117" s="5"/>
      <c r="U117" s="70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</row>
    <row r="118" spans="6:43" s="66" customFormat="1" ht="12.75">
      <c r="F118" s="74"/>
      <c r="G118" s="38"/>
      <c r="H118" s="39"/>
      <c r="I118" s="38"/>
      <c r="J118" s="38"/>
      <c r="K118" s="102"/>
      <c r="L118" s="102"/>
      <c r="M118" s="40"/>
      <c r="N118" s="41"/>
      <c r="O118" s="40"/>
      <c r="P118" s="40"/>
      <c r="Q118" s="40"/>
      <c r="R118" s="40"/>
      <c r="S118" s="5"/>
      <c r="U118" s="70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  <c r="AM118" s="291"/>
      <c r="AN118" s="291"/>
      <c r="AO118" s="291"/>
      <c r="AP118" s="291"/>
      <c r="AQ118" s="291"/>
    </row>
    <row r="119" spans="6:43" s="66" customFormat="1" ht="12.75">
      <c r="F119" s="74"/>
      <c r="G119" s="38"/>
      <c r="H119" s="39"/>
      <c r="I119" s="38"/>
      <c r="J119" s="38"/>
      <c r="K119" s="102"/>
      <c r="L119" s="102"/>
      <c r="M119" s="40"/>
      <c r="N119" s="41"/>
      <c r="O119" s="40"/>
      <c r="P119" s="40"/>
      <c r="Q119" s="40"/>
      <c r="R119" s="40"/>
      <c r="S119" s="5"/>
      <c r="U119" s="70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  <c r="AM119" s="291"/>
      <c r="AN119" s="291"/>
      <c r="AO119" s="291"/>
      <c r="AP119" s="291"/>
      <c r="AQ119" s="291"/>
    </row>
    <row r="120" spans="6:43" s="66" customFormat="1" ht="12.75">
      <c r="F120" s="74"/>
      <c r="G120" s="38"/>
      <c r="H120" s="39"/>
      <c r="I120" s="38"/>
      <c r="J120" s="38"/>
      <c r="K120" s="102"/>
      <c r="L120" s="102"/>
      <c r="M120" s="40"/>
      <c r="N120" s="41"/>
      <c r="O120" s="40"/>
      <c r="P120" s="40"/>
      <c r="Q120" s="40"/>
      <c r="R120" s="40"/>
      <c r="S120" s="5"/>
      <c r="U120" s="70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  <c r="AM120" s="291"/>
      <c r="AN120" s="291"/>
      <c r="AO120" s="291"/>
      <c r="AP120" s="291"/>
      <c r="AQ120" s="291"/>
    </row>
    <row r="121" spans="6:43" s="66" customFormat="1" ht="12.75">
      <c r="F121" s="74"/>
      <c r="G121" s="38"/>
      <c r="H121" s="39"/>
      <c r="I121" s="38"/>
      <c r="J121" s="38"/>
      <c r="K121" s="102"/>
      <c r="L121" s="102"/>
      <c r="M121" s="40"/>
      <c r="N121" s="41"/>
      <c r="O121" s="40"/>
      <c r="P121" s="40"/>
      <c r="Q121" s="40"/>
      <c r="R121" s="40"/>
      <c r="S121" s="5"/>
      <c r="U121" s="70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  <c r="AM121" s="291"/>
      <c r="AN121" s="291"/>
      <c r="AO121" s="291"/>
      <c r="AP121" s="291"/>
      <c r="AQ121" s="291"/>
    </row>
    <row r="122" spans="6:43" s="66" customFormat="1" ht="12.75">
      <c r="F122" s="74"/>
      <c r="G122" s="38"/>
      <c r="H122" s="39"/>
      <c r="I122" s="38"/>
      <c r="J122" s="38"/>
      <c r="K122" s="102"/>
      <c r="L122" s="102"/>
      <c r="M122" s="40"/>
      <c r="N122" s="41"/>
      <c r="O122" s="40"/>
      <c r="P122" s="40"/>
      <c r="Q122" s="40"/>
      <c r="R122" s="40"/>
      <c r="S122" s="5"/>
      <c r="U122" s="70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  <c r="AM122" s="291"/>
      <c r="AN122" s="291"/>
      <c r="AO122" s="291"/>
      <c r="AP122" s="291"/>
      <c r="AQ122" s="291"/>
    </row>
    <row r="123" spans="6:43" s="66" customFormat="1" ht="12.75">
      <c r="F123" s="74"/>
      <c r="G123" s="38"/>
      <c r="H123" s="39"/>
      <c r="I123" s="38"/>
      <c r="J123" s="38"/>
      <c r="K123" s="102"/>
      <c r="L123" s="102"/>
      <c r="M123" s="40"/>
      <c r="N123" s="41"/>
      <c r="O123" s="40"/>
      <c r="P123" s="40"/>
      <c r="Q123" s="40"/>
      <c r="R123" s="40"/>
      <c r="S123" s="5"/>
      <c r="U123" s="70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  <c r="AM123" s="291"/>
      <c r="AN123" s="291"/>
      <c r="AO123" s="291"/>
      <c r="AP123" s="291"/>
      <c r="AQ123" s="291"/>
    </row>
    <row r="124" spans="6:43" s="66" customFormat="1" ht="12.75">
      <c r="F124" s="74"/>
      <c r="G124" s="38"/>
      <c r="H124" s="39"/>
      <c r="I124" s="38"/>
      <c r="J124" s="38"/>
      <c r="K124" s="102"/>
      <c r="L124" s="102"/>
      <c r="M124" s="40"/>
      <c r="N124" s="41"/>
      <c r="O124" s="40"/>
      <c r="P124" s="40"/>
      <c r="Q124" s="40"/>
      <c r="R124" s="40"/>
      <c r="S124" s="5"/>
      <c r="U124" s="70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  <c r="AM124" s="291"/>
      <c r="AN124" s="291"/>
      <c r="AO124" s="291"/>
      <c r="AP124" s="291"/>
      <c r="AQ124" s="291"/>
    </row>
    <row r="125" spans="6:43" s="66" customFormat="1" ht="12.75">
      <c r="F125" s="74"/>
      <c r="G125" s="38"/>
      <c r="H125" s="39"/>
      <c r="I125" s="38"/>
      <c r="J125" s="38"/>
      <c r="K125" s="102"/>
      <c r="L125" s="102"/>
      <c r="M125" s="40"/>
      <c r="N125" s="41"/>
      <c r="O125" s="40"/>
      <c r="P125" s="40"/>
      <c r="Q125" s="40"/>
      <c r="R125" s="40"/>
      <c r="S125" s="5"/>
      <c r="U125" s="70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/>
    </row>
    <row r="126" spans="6:43" s="66" customFormat="1" ht="12.75">
      <c r="F126" s="74"/>
      <c r="G126" s="38"/>
      <c r="H126" s="39"/>
      <c r="I126" s="38"/>
      <c r="J126" s="38"/>
      <c r="K126" s="102"/>
      <c r="L126" s="102"/>
      <c r="M126" s="40"/>
      <c r="N126" s="41"/>
      <c r="O126" s="40"/>
      <c r="P126" s="40"/>
      <c r="Q126" s="40"/>
      <c r="R126" s="40"/>
      <c r="S126" s="5"/>
      <c r="U126" s="70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</row>
    <row r="127" spans="6:43" s="66" customFormat="1" ht="12.75">
      <c r="F127" s="74"/>
      <c r="G127" s="38"/>
      <c r="H127" s="39"/>
      <c r="I127" s="38"/>
      <c r="J127" s="38"/>
      <c r="K127" s="102"/>
      <c r="L127" s="102"/>
      <c r="M127" s="40"/>
      <c r="N127" s="41"/>
      <c r="O127" s="40"/>
      <c r="P127" s="40"/>
      <c r="Q127" s="40"/>
      <c r="R127" s="40"/>
      <c r="S127" s="5"/>
      <c r="U127" s="70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</row>
    <row r="128" spans="6:43" s="66" customFormat="1" ht="12.75">
      <c r="F128" s="74"/>
      <c r="G128" s="38"/>
      <c r="H128" s="39"/>
      <c r="I128" s="38"/>
      <c r="J128" s="38"/>
      <c r="K128" s="102"/>
      <c r="L128" s="102"/>
      <c r="M128" s="40"/>
      <c r="N128" s="41"/>
      <c r="O128" s="40"/>
      <c r="P128" s="40"/>
      <c r="Q128" s="40"/>
      <c r="R128" s="40"/>
      <c r="S128" s="5"/>
      <c r="U128" s="70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  <c r="AP128" s="291"/>
      <c r="AQ128" s="291"/>
    </row>
    <row r="129" spans="6:43" s="66" customFormat="1" ht="12.75">
      <c r="F129" s="74"/>
      <c r="G129" s="38"/>
      <c r="H129" s="39"/>
      <c r="I129" s="38"/>
      <c r="J129" s="38"/>
      <c r="K129" s="102"/>
      <c r="L129" s="102"/>
      <c r="M129" s="40"/>
      <c r="N129" s="41"/>
      <c r="O129" s="40"/>
      <c r="P129" s="40"/>
      <c r="Q129" s="40"/>
      <c r="R129" s="40"/>
      <c r="S129" s="5"/>
      <c r="U129" s="70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  <c r="AP129" s="291"/>
      <c r="AQ129" s="291"/>
    </row>
    <row r="130" spans="6:43" s="66" customFormat="1" ht="12.75">
      <c r="F130" s="74"/>
      <c r="G130" s="38"/>
      <c r="H130" s="39"/>
      <c r="I130" s="38"/>
      <c r="J130" s="38"/>
      <c r="K130" s="102"/>
      <c r="L130" s="102"/>
      <c r="M130" s="40"/>
      <c r="N130" s="41"/>
      <c r="O130" s="40"/>
      <c r="P130" s="40"/>
      <c r="Q130" s="40"/>
      <c r="R130" s="40"/>
      <c r="S130" s="5"/>
      <c r="U130" s="70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  <c r="AP130" s="291"/>
      <c r="AQ130" s="291"/>
    </row>
    <row r="131" spans="6:43" s="66" customFormat="1" ht="12.75">
      <c r="F131" s="74"/>
      <c r="G131" s="38"/>
      <c r="H131" s="39"/>
      <c r="I131" s="38"/>
      <c r="J131" s="38"/>
      <c r="K131" s="102"/>
      <c r="L131" s="102"/>
      <c r="M131" s="40"/>
      <c r="N131" s="41"/>
      <c r="O131" s="40"/>
      <c r="P131" s="40"/>
      <c r="Q131" s="40"/>
      <c r="R131" s="40"/>
      <c r="S131" s="5"/>
      <c r="U131" s="70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  <c r="AP131" s="291"/>
      <c r="AQ131" s="291"/>
    </row>
    <row r="132" spans="6:43" s="66" customFormat="1" ht="12.75">
      <c r="F132" s="74"/>
      <c r="G132" s="38"/>
      <c r="H132" s="39"/>
      <c r="I132" s="38"/>
      <c r="J132" s="38"/>
      <c r="K132" s="102"/>
      <c r="L132" s="102"/>
      <c r="M132" s="40"/>
      <c r="N132" s="41"/>
      <c r="O132" s="40"/>
      <c r="P132" s="40"/>
      <c r="Q132" s="40"/>
      <c r="R132" s="40"/>
      <c r="S132" s="5"/>
      <c r="U132" s="70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91"/>
      <c r="AO132" s="291"/>
      <c r="AP132" s="291"/>
      <c r="AQ132" s="291"/>
    </row>
    <row r="133" spans="6:43" s="66" customFormat="1" ht="12.75">
      <c r="F133" s="74"/>
      <c r="G133" s="38"/>
      <c r="H133" s="39"/>
      <c r="I133" s="38"/>
      <c r="J133" s="38"/>
      <c r="K133" s="102"/>
      <c r="L133" s="102"/>
      <c r="M133" s="40"/>
      <c r="N133" s="41"/>
      <c r="O133" s="40"/>
      <c r="P133" s="40"/>
      <c r="Q133" s="40"/>
      <c r="R133" s="40"/>
      <c r="S133" s="5"/>
      <c r="U133" s="70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1"/>
      <c r="AO133" s="291"/>
      <c r="AP133" s="291"/>
      <c r="AQ133" s="291"/>
    </row>
    <row r="134" spans="6:43" s="66" customFormat="1" ht="12.75">
      <c r="F134" s="74"/>
      <c r="G134" s="38"/>
      <c r="H134" s="39"/>
      <c r="I134" s="38"/>
      <c r="J134" s="38"/>
      <c r="K134" s="102"/>
      <c r="L134" s="102"/>
      <c r="M134" s="40"/>
      <c r="N134" s="41"/>
      <c r="O134" s="40"/>
      <c r="P134" s="40"/>
      <c r="Q134" s="40"/>
      <c r="R134" s="40"/>
      <c r="S134" s="5"/>
      <c r="U134" s="70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  <c r="AM134" s="291"/>
      <c r="AN134" s="291"/>
      <c r="AO134" s="291"/>
      <c r="AP134" s="291"/>
      <c r="AQ134" s="291"/>
    </row>
    <row r="135" spans="6:43" s="66" customFormat="1" ht="12.75">
      <c r="F135" s="74"/>
      <c r="G135" s="38"/>
      <c r="H135" s="39"/>
      <c r="I135" s="38"/>
      <c r="J135" s="38"/>
      <c r="K135" s="102"/>
      <c r="L135" s="102"/>
      <c r="M135" s="40"/>
      <c r="N135" s="41"/>
      <c r="O135" s="40"/>
      <c r="P135" s="40"/>
      <c r="Q135" s="40"/>
      <c r="R135" s="40"/>
      <c r="S135" s="5"/>
      <c r="U135" s="70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  <c r="AM135" s="291"/>
      <c r="AN135" s="291"/>
      <c r="AO135" s="291"/>
      <c r="AP135" s="291"/>
      <c r="AQ135" s="291"/>
    </row>
    <row r="136" spans="6:43" s="66" customFormat="1" ht="12.75">
      <c r="F136" s="74"/>
      <c r="G136" s="38"/>
      <c r="H136" s="39"/>
      <c r="I136" s="38"/>
      <c r="J136" s="38"/>
      <c r="K136" s="102"/>
      <c r="L136" s="102"/>
      <c r="M136" s="40"/>
      <c r="N136" s="41"/>
      <c r="O136" s="40"/>
      <c r="P136" s="40"/>
      <c r="Q136" s="40"/>
      <c r="R136" s="40"/>
      <c r="S136" s="5"/>
      <c r="U136" s="70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  <c r="AM136" s="291"/>
      <c r="AN136" s="291"/>
      <c r="AO136" s="291"/>
      <c r="AP136" s="291"/>
      <c r="AQ136" s="291"/>
    </row>
    <row r="137" spans="6:43" s="66" customFormat="1" ht="12.75">
      <c r="F137" s="74"/>
      <c r="G137" s="38"/>
      <c r="H137" s="39"/>
      <c r="I137" s="38"/>
      <c r="J137" s="38"/>
      <c r="K137" s="102"/>
      <c r="L137" s="102"/>
      <c r="M137" s="40"/>
      <c r="N137" s="41"/>
      <c r="O137" s="40"/>
      <c r="P137" s="40"/>
      <c r="Q137" s="40"/>
      <c r="R137" s="40"/>
      <c r="S137" s="5"/>
      <c r="U137" s="70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91"/>
      <c r="AO137" s="291"/>
      <c r="AP137" s="291"/>
      <c r="AQ137" s="291"/>
    </row>
    <row r="138" spans="6:43" s="66" customFormat="1" ht="12.75">
      <c r="F138" s="74"/>
      <c r="G138" s="38"/>
      <c r="H138" s="39"/>
      <c r="I138" s="38"/>
      <c r="J138" s="38"/>
      <c r="K138" s="102"/>
      <c r="L138" s="102"/>
      <c r="M138" s="40"/>
      <c r="N138" s="41"/>
      <c r="O138" s="40"/>
      <c r="P138" s="40"/>
      <c r="Q138" s="40"/>
      <c r="R138" s="40"/>
      <c r="S138" s="5"/>
      <c r="U138" s="70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  <c r="AM138" s="291"/>
      <c r="AN138" s="291"/>
      <c r="AO138" s="291"/>
      <c r="AP138" s="291"/>
      <c r="AQ138" s="291"/>
    </row>
    <row r="139" spans="6:43" s="66" customFormat="1" ht="12.75">
      <c r="F139" s="74"/>
      <c r="G139" s="38"/>
      <c r="H139" s="39"/>
      <c r="I139" s="38"/>
      <c r="J139" s="38"/>
      <c r="K139" s="102"/>
      <c r="L139" s="102"/>
      <c r="M139" s="40"/>
      <c r="N139" s="41"/>
      <c r="O139" s="40"/>
      <c r="P139" s="40"/>
      <c r="Q139" s="40"/>
      <c r="R139" s="40"/>
      <c r="S139" s="5"/>
      <c r="U139" s="70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91"/>
      <c r="AO139" s="291"/>
      <c r="AP139" s="291"/>
      <c r="AQ139" s="291"/>
    </row>
    <row r="140" spans="6:43" s="66" customFormat="1" ht="12.75">
      <c r="F140" s="74"/>
      <c r="G140" s="38"/>
      <c r="H140" s="39"/>
      <c r="I140" s="38"/>
      <c r="J140" s="38"/>
      <c r="K140" s="102"/>
      <c r="L140" s="102"/>
      <c r="M140" s="40"/>
      <c r="N140" s="41"/>
      <c r="O140" s="40"/>
      <c r="P140" s="40"/>
      <c r="Q140" s="40"/>
      <c r="R140" s="40"/>
      <c r="S140" s="5"/>
      <c r="U140" s="70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</row>
    <row r="141" spans="6:43" s="66" customFormat="1" ht="12.75">
      <c r="F141" s="74"/>
      <c r="G141" s="38"/>
      <c r="H141" s="39"/>
      <c r="I141" s="38"/>
      <c r="J141" s="38"/>
      <c r="K141" s="102"/>
      <c r="L141" s="102"/>
      <c r="M141" s="40"/>
      <c r="N141" s="41"/>
      <c r="O141" s="40"/>
      <c r="P141" s="40"/>
      <c r="Q141" s="40"/>
      <c r="R141" s="40"/>
      <c r="S141" s="5"/>
      <c r="U141" s="70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</row>
    <row r="142" spans="6:43" s="66" customFormat="1" ht="12.75">
      <c r="F142" s="74"/>
      <c r="G142" s="38"/>
      <c r="H142" s="39"/>
      <c r="I142" s="38"/>
      <c r="J142" s="38"/>
      <c r="K142" s="102"/>
      <c r="L142" s="102"/>
      <c r="M142" s="40"/>
      <c r="N142" s="41"/>
      <c r="O142" s="40"/>
      <c r="P142" s="40"/>
      <c r="Q142" s="40"/>
      <c r="R142" s="40"/>
      <c r="S142" s="5"/>
      <c r="U142" s="70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  <c r="AM142" s="291"/>
      <c r="AN142" s="291"/>
      <c r="AO142" s="291"/>
      <c r="AP142" s="291"/>
      <c r="AQ142" s="291"/>
    </row>
    <row r="143" spans="6:43" s="66" customFormat="1" ht="12.75">
      <c r="F143" s="74"/>
      <c r="G143" s="38"/>
      <c r="H143" s="39"/>
      <c r="I143" s="38"/>
      <c r="J143" s="38"/>
      <c r="K143" s="102"/>
      <c r="L143" s="102"/>
      <c r="M143" s="40"/>
      <c r="N143" s="41"/>
      <c r="O143" s="40"/>
      <c r="P143" s="40"/>
      <c r="Q143" s="40"/>
      <c r="R143" s="40"/>
      <c r="S143" s="5"/>
      <c r="U143" s="70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  <c r="AM143" s="291"/>
      <c r="AN143" s="291"/>
      <c r="AO143" s="291"/>
      <c r="AP143" s="291"/>
      <c r="AQ143" s="291"/>
    </row>
    <row r="144" spans="6:43" s="66" customFormat="1" ht="12.75">
      <c r="F144" s="74"/>
      <c r="G144" s="38"/>
      <c r="H144" s="39"/>
      <c r="I144" s="38"/>
      <c r="J144" s="38"/>
      <c r="K144" s="102"/>
      <c r="L144" s="102"/>
      <c r="M144" s="40"/>
      <c r="N144" s="41"/>
      <c r="O144" s="40"/>
      <c r="P144" s="40"/>
      <c r="Q144" s="40"/>
      <c r="R144" s="40"/>
      <c r="S144" s="5"/>
      <c r="U144" s="70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  <c r="AM144" s="291"/>
      <c r="AN144" s="291"/>
      <c r="AO144" s="291"/>
      <c r="AP144" s="291"/>
      <c r="AQ144" s="291"/>
    </row>
    <row r="145" spans="6:43" s="66" customFormat="1" ht="12.75">
      <c r="F145" s="74"/>
      <c r="G145" s="38"/>
      <c r="H145" s="39"/>
      <c r="I145" s="38"/>
      <c r="J145" s="38"/>
      <c r="K145" s="102"/>
      <c r="L145" s="102"/>
      <c r="M145" s="40"/>
      <c r="N145" s="41"/>
      <c r="O145" s="40"/>
      <c r="P145" s="40"/>
      <c r="Q145" s="40"/>
      <c r="R145" s="40"/>
      <c r="S145" s="5"/>
      <c r="U145" s="70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  <c r="AM145" s="291"/>
      <c r="AN145" s="291"/>
      <c r="AO145" s="291"/>
      <c r="AP145" s="291"/>
      <c r="AQ145" s="291"/>
    </row>
    <row r="146" spans="6:43" s="66" customFormat="1" ht="12.75">
      <c r="F146" s="74"/>
      <c r="G146" s="38"/>
      <c r="H146" s="39"/>
      <c r="I146" s="38"/>
      <c r="J146" s="38"/>
      <c r="K146" s="102"/>
      <c r="L146" s="102"/>
      <c r="M146" s="40"/>
      <c r="N146" s="41"/>
      <c r="O146" s="40"/>
      <c r="P146" s="40"/>
      <c r="Q146" s="40"/>
      <c r="R146" s="40"/>
      <c r="S146" s="5"/>
      <c r="U146" s="70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  <c r="AM146" s="291"/>
      <c r="AN146" s="291"/>
      <c r="AO146" s="291"/>
      <c r="AP146" s="291"/>
      <c r="AQ146" s="291"/>
    </row>
    <row r="147" spans="6:43" s="66" customFormat="1" ht="12.75">
      <c r="F147" s="74"/>
      <c r="G147" s="38"/>
      <c r="H147" s="39"/>
      <c r="I147" s="38"/>
      <c r="J147" s="38"/>
      <c r="K147" s="102"/>
      <c r="L147" s="102"/>
      <c r="M147" s="40"/>
      <c r="N147" s="41"/>
      <c r="O147" s="40"/>
      <c r="P147" s="40"/>
      <c r="Q147" s="40"/>
      <c r="R147" s="40"/>
      <c r="S147" s="5"/>
      <c r="U147" s="70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  <c r="AM147" s="291"/>
      <c r="AN147" s="291"/>
      <c r="AO147" s="291"/>
      <c r="AP147" s="291"/>
      <c r="AQ147" s="291"/>
    </row>
    <row r="148" spans="6:43" s="66" customFormat="1" ht="12.75">
      <c r="F148" s="74"/>
      <c r="G148" s="38"/>
      <c r="H148" s="39"/>
      <c r="I148" s="38"/>
      <c r="J148" s="38"/>
      <c r="K148" s="102"/>
      <c r="L148" s="102"/>
      <c r="M148" s="40"/>
      <c r="N148" s="41"/>
      <c r="O148" s="40"/>
      <c r="P148" s="40"/>
      <c r="Q148" s="40"/>
      <c r="R148" s="40"/>
      <c r="S148" s="5"/>
      <c r="U148" s="70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  <c r="AM148" s="291"/>
      <c r="AN148" s="291"/>
      <c r="AO148" s="291"/>
      <c r="AP148" s="291"/>
      <c r="AQ148" s="291"/>
    </row>
    <row r="149" spans="6:43" s="66" customFormat="1" ht="12.75">
      <c r="F149" s="74"/>
      <c r="G149" s="38"/>
      <c r="H149" s="39"/>
      <c r="I149" s="38"/>
      <c r="J149" s="38"/>
      <c r="K149" s="102"/>
      <c r="L149" s="102"/>
      <c r="M149" s="40"/>
      <c r="N149" s="41"/>
      <c r="O149" s="40"/>
      <c r="P149" s="40"/>
      <c r="Q149" s="40"/>
      <c r="R149" s="40"/>
      <c r="S149" s="5"/>
      <c r="U149" s="70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  <c r="AM149" s="291"/>
      <c r="AN149" s="291"/>
      <c r="AO149" s="291"/>
      <c r="AP149" s="291"/>
      <c r="AQ149" s="291"/>
    </row>
    <row r="150" spans="6:43" s="66" customFormat="1" ht="12.75">
      <c r="F150" s="74"/>
      <c r="G150" s="38"/>
      <c r="H150" s="39"/>
      <c r="I150" s="38"/>
      <c r="J150" s="38"/>
      <c r="K150" s="102"/>
      <c r="L150" s="102"/>
      <c r="M150" s="40"/>
      <c r="N150" s="41"/>
      <c r="O150" s="40"/>
      <c r="P150" s="40"/>
      <c r="Q150" s="40"/>
      <c r="R150" s="40"/>
      <c r="S150" s="5"/>
      <c r="U150" s="70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  <c r="AM150" s="291"/>
      <c r="AN150" s="291"/>
      <c r="AO150" s="291"/>
      <c r="AP150" s="291"/>
      <c r="AQ150" s="291"/>
    </row>
    <row r="151" spans="6:43" s="66" customFormat="1" ht="12.75">
      <c r="F151" s="74"/>
      <c r="G151" s="38"/>
      <c r="H151" s="39"/>
      <c r="I151" s="38"/>
      <c r="J151" s="38"/>
      <c r="K151" s="102"/>
      <c r="L151" s="102"/>
      <c r="M151" s="40"/>
      <c r="N151" s="41"/>
      <c r="O151" s="40"/>
      <c r="P151" s="40"/>
      <c r="Q151" s="40"/>
      <c r="R151" s="40"/>
      <c r="S151" s="5"/>
      <c r="U151" s="70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  <c r="AM151" s="291"/>
      <c r="AN151" s="291"/>
      <c r="AO151" s="291"/>
      <c r="AP151" s="291"/>
      <c r="AQ151" s="291"/>
    </row>
    <row r="152" spans="6:43" s="66" customFormat="1" ht="12.75">
      <c r="F152" s="74"/>
      <c r="G152" s="38"/>
      <c r="H152" s="39"/>
      <c r="I152" s="38"/>
      <c r="J152" s="38"/>
      <c r="K152" s="102"/>
      <c r="L152" s="102"/>
      <c r="M152" s="40"/>
      <c r="N152" s="41"/>
      <c r="O152" s="40"/>
      <c r="P152" s="40"/>
      <c r="Q152" s="40"/>
      <c r="R152" s="40"/>
      <c r="S152" s="5"/>
      <c r="U152" s="70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291"/>
      <c r="AN152" s="291"/>
      <c r="AO152" s="291"/>
      <c r="AP152" s="291"/>
      <c r="AQ152" s="291"/>
    </row>
    <row r="153" spans="6:43" s="66" customFormat="1" ht="12.75">
      <c r="F153" s="74"/>
      <c r="G153" s="38"/>
      <c r="H153" s="39"/>
      <c r="I153" s="38"/>
      <c r="J153" s="38"/>
      <c r="K153" s="102"/>
      <c r="L153" s="102"/>
      <c r="M153" s="40"/>
      <c r="N153" s="41"/>
      <c r="O153" s="40"/>
      <c r="P153" s="40"/>
      <c r="Q153" s="40"/>
      <c r="R153" s="40"/>
      <c r="S153" s="5"/>
      <c r="U153" s="70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  <c r="AM153" s="291"/>
      <c r="AN153" s="291"/>
      <c r="AO153" s="291"/>
      <c r="AP153" s="291"/>
      <c r="AQ153" s="291"/>
    </row>
    <row r="154" spans="6:43" s="66" customFormat="1" ht="12.75">
      <c r="F154" s="74"/>
      <c r="G154" s="38"/>
      <c r="H154" s="39"/>
      <c r="I154" s="38"/>
      <c r="J154" s="38"/>
      <c r="K154" s="102"/>
      <c r="L154" s="102"/>
      <c r="M154" s="40"/>
      <c r="N154" s="41"/>
      <c r="O154" s="40"/>
      <c r="P154" s="40"/>
      <c r="Q154" s="40"/>
      <c r="R154" s="40"/>
      <c r="S154" s="5"/>
      <c r="U154" s="70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  <c r="AM154" s="291"/>
      <c r="AN154" s="291"/>
      <c r="AO154" s="291"/>
      <c r="AP154" s="291"/>
      <c r="AQ154" s="291"/>
    </row>
    <row r="155" spans="6:43" s="66" customFormat="1" ht="12.75">
      <c r="F155" s="74"/>
      <c r="G155" s="38"/>
      <c r="H155" s="39"/>
      <c r="I155" s="38"/>
      <c r="J155" s="38"/>
      <c r="K155" s="102"/>
      <c r="L155" s="102"/>
      <c r="M155" s="40"/>
      <c r="N155" s="41"/>
      <c r="O155" s="40"/>
      <c r="P155" s="40"/>
      <c r="Q155" s="40"/>
      <c r="R155" s="40"/>
      <c r="S155" s="5"/>
      <c r="U155" s="70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  <c r="AM155" s="291"/>
      <c r="AN155" s="291"/>
      <c r="AO155" s="291"/>
      <c r="AP155" s="291"/>
      <c r="AQ155" s="291"/>
    </row>
    <row r="156" spans="6:43" s="66" customFormat="1" ht="12.75">
      <c r="F156" s="74"/>
      <c r="G156" s="38"/>
      <c r="H156" s="39"/>
      <c r="I156" s="38"/>
      <c r="J156" s="38"/>
      <c r="K156" s="102"/>
      <c r="L156" s="102"/>
      <c r="M156" s="40"/>
      <c r="N156" s="41"/>
      <c r="O156" s="40"/>
      <c r="P156" s="40"/>
      <c r="Q156" s="40"/>
      <c r="R156" s="40"/>
      <c r="S156" s="5"/>
      <c r="U156" s="70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  <c r="AM156" s="291"/>
      <c r="AN156" s="291"/>
      <c r="AO156" s="291"/>
      <c r="AP156" s="291"/>
      <c r="AQ156" s="291"/>
    </row>
    <row r="157" spans="6:43" s="66" customFormat="1" ht="12.75">
      <c r="F157" s="74"/>
      <c r="G157" s="38"/>
      <c r="H157" s="39"/>
      <c r="I157" s="38"/>
      <c r="J157" s="38"/>
      <c r="K157" s="102"/>
      <c r="L157" s="102"/>
      <c r="M157" s="40"/>
      <c r="N157" s="41"/>
      <c r="O157" s="40"/>
      <c r="P157" s="40"/>
      <c r="Q157" s="40"/>
      <c r="R157" s="40"/>
      <c r="S157" s="5"/>
      <c r="U157" s="70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291"/>
      <c r="AN157" s="291"/>
      <c r="AO157" s="291"/>
      <c r="AP157" s="291"/>
      <c r="AQ157" s="291"/>
    </row>
    <row r="158" spans="6:43" s="66" customFormat="1" ht="12.75">
      <c r="F158" s="74"/>
      <c r="G158" s="38"/>
      <c r="H158" s="39"/>
      <c r="I158" s="38"/>
      <c r="J158" s="38"/>
      <c r="K158" s="102"/>
      <c r="L158" s="102"/>
      <c r="M158" s="40"/>
      <c r="N158" s="41"/>
      <c r="O158" s="40"/>
      <c r="P158" s="40"/>
      <c r="Q158" s="40"/>
      <c r="R158" s="40"/>
      <c r="S158" s="5"/>
      <c r="U158" s="70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  <c r="AM158" s="291"/>
      <c r="AN158" s="291"/>
      <c r="AO158" s="291"/>
      <c r="AP158" s="291"/>
      <c r="AQ158" s="291"/>
    </row>
    <row r="159" spans="6:43" s="66" customFormat="1" ht="12.75">
      <c r="F159" s="74"/>
      <c r="G159" s="38"/>
      <c r="H159" s="39"/>
      <c r="I159" s="38"/>
      <c r="J159" s="38"/>
      <c r="K159" s="102"/>
      <c r="L159" s="102"/>
      <c r="M159" s="40"/>
      <c r="N159" s="41"/>
      <c r="O159" s="40"/>
      <c r="P159" s="40"/>
      <c r="Q159" s="40"/>
      <c r="R159" s="40"/>
      <c r="S159" s="5"/>
      <c r="U159" s="70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  <c r="AM159" s="291"/>
      <c r="AN159" s="291"/>
      <c r="AO159" s="291"/>
      <c r="AP159" s="291"/>
      <c r="AQ159" s="291"/>
    </row>
    <row r="160" spans="6:43" s="66" customFormat="1" ht="12.75">
      <c r="F160" s="74"/>
      <c r="G160" s="38"/>
      <c r="H160" s="39"/>
      <c r="I160" s="38"/>
      <c r="J160" s="38"/>
      <c r="K160" s="102"/>
      <c r="L160" s="102"/>
      <c r="M160" s="40"/>
      <c r="N160" s="41"/>
      <c r="O160" s="40"/>
      <c r="P160" s="40"/>
      <c r="Q160" s="40"/>
      <c r="R160" s="40"/>
      <c r="S160" s="5"/>
      <c r="U160" s="70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  <c r="AM160" s="291"/>
      <c r="AN160" s="291"/>
      <c r="AO160" s="291"/>
      <c r="AP160" s="291"/>
      <c r="AQ160" s="291"/>
    </row>
    <row r="161" spans="6:43" s="66" customFormat="1" ht="12.75">
      <c r="F161" s="74"/>
      <c r="G161" s="38"/>
      <c r="H161" s="39"/>
      <c r="I161" s="38"/>
      <c r="J161" s="38"/>
      <c r="K161" s="102"/>
      <c r="L161" s="102"/>
      <c r="M161" s="40"/>
      <c r="N161" s="41"/>
      <c r="O161" s="40"/>
      <c r="P161" s="40"/>
      <c r="Q161" s="40"/>
      <c r="R161" s="40"/>
      <c r="S161" s="5"/>
      <c r="U161" s="70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  <c r="AM161" s="291"/>
      <c r="AN161" s="291"/>
      <c r="AO161" s="291"/>
      <c r="AP161" s="291"/>
      <c r="AQ161" s="291"/>
    </row>
    <row r="162" spans="6:43" s="66" customFormat="1" ht="12.75">
      <c r="F162" s="74"/>
      <c r="G162" s="38"/>
      <c r="H162" s="39"/>
      <c r="I162" s="38"/>
      <c r="J162" s="38"/>
      <c r="K162" s="102"/>
      <c r="L162" s="102"/>
      <c r="M162" s="40"/>
      <c r="N162" s="41"/>
      <c r="O162" s="40"/>
      <c r="P162" s="40"/>
      <c r="Q162" s="40"/>
      <c r="R162" s="40"/>
      <c r="S162" s="5"/>
      <c r="U162" s="70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  <c r="AM162" s="291"/>
      <c r="AN162" s="291"/>
      <c r="AO162" s="291"/>
      <c r="AP162" s="291"/>
      <c r="AQ162" s="291"/>
    </row>
    <row r="163" spans="6:43" s="66" customFormat="1" ht="12.75">
      <c r="F163" s="74"/>
      <c r="G163" s="38"/>
      <c r="H163" s="39"/>
      <c r="I163" s="38"/>
      <c r="J163" s="38"/>
      <c r="K163" s="102"/>
      <c r="L163" s="102"/>
      <c r="M163" s="40"/>
      <c r="N163" s="41"/>
      <c r="O163" s="40"/>
      <c r="P163" s="40"/>
      <c r="Q163" s="40"/>
      <c r="R163" s="40"/>
      <c r="S163" s="5"/>
      <c r="U163" s="70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  <c r="AM163" s="291"/>
      <c r="AN163" s="291"/>
      <c r="AO163" s="291"/>
      <c r="AP163" s="291"/>
      <c r="AQ163" s="291"/>
    </row>
    <row r="164" spans="6:43" s="66" customFormat="1" ht="12.75">
      <c r="F164" s="74"/>
      <c r="G164" s="38"/>
      <c r="H164" s="39"/>
      <c r="I164" s="38"/>
      <c r="J164" s="38"/>
      <c r="K164" s="102"/>
      <c r="L164" s="102"/>
      <c r="M164" s="40"/>
      <c r="N164" s="41"/>
      <c r="O164" s="40"/>
      <c r="P164" s="40"/>
      <c r="Q164" s="40"/>
      <c r="R164" s="40"/>
      <c r="S164" s="5"/>
      <c r="U164" s="70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  <c r="AM164" s="291"/>
      <c r="AN164" s="291"/>
      <c r="AO164" s="291"/>
      <c r="AP164" s="291"/>
      <c r="AQ164" s="291"/>
    </row>
    <row r="165" spans="6:43" s="66" customFormat="1" ht="12.75">
      <c r="F165" s="74"/>
      <c r="G165" s="38"/>
      <c r="H165" s="39"/>
      <c r="I165" s="38"/>
      <c r="J165" s="38"/>
      <c r="K165" s="102"/>
      <c r="L165" s="102"/>
      <c r="M165" s="40"/>
      <c r="N165" s="41"/>
      <c r="O165" s="40"/>
      <c r="P165" s="40"/>
      <c r="Q165" s="40"/>
      <c r="R165" s="40"/>
      <c r="S165" s="5"/>
      <c r="U165" s="70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  <c r="AM165" s="291"/>
      <c r="AN165" s="291"/>
      <c r="AO165" s="291"/>
      <c r="AP165" s="291"/>
      <c r="AQ165" s="291"/>
    </row>
    <row r="166" spans="6:43" s="66" customFormat="1" ht="12.75">
      <c r="F166" s="74"/>
      <c r="G166" s="38"/>
      <c r="H166" s="39"/>
      <c r="I166" s="38"/>
      <c r="J166" s="38"/>
      <c r="K166" s="102"/>
      <c r="L166" s="102"/>
      <c r="M166" s="40"/>
      <c r="N166" s="41"/>
      <c r="O166" s="40"/>
      <c r="P166" s="40"/>
      <c r="Q166" s="40"/>
      <c r="R166" s="40"/>
      <c r="S166" s="5"/>
      <c r="U166" s="70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  <c r="AM166" s="291"/>
      <c r="AN166" s="291"/>
      <c r="AO166" s="291"/>
      <c r="AP166" s="291"/>
      <c r="AQ166" s="291"/>
    </row>
    <row r="167" spans="6:43" s="66" customFormat="1" ht="12.75">
      <c r="F167" s="74"/>
      <c r="G167" s="38"/>
      <c r="H167" s="39"/>
      <c r="I167" s="38"/>
      <c r="J167" s="38"/>
      <c r="K167" s="102"/>
      <c r="L167" s="102"/>
      <c r="M167" s="40"/>
      <c r="N167" s="41"/>
      <c r="O167" s="40"/>
      <c r="P167" s="40"/>
      <c r="Q167" s="40"/>
      <c r="R167" s="40"/>
      <c r="S167" s="5"/>
      <c r="U167" s="70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  <c r="AM167" s="291"/>
      <c r="AN167" s="291"/>
      <c r="AO167" s="291"/>
      <c r="AP167" s="291"/>
      <c r="AQ167" s="291"/>
    </row>
    <row r="168" spans="6:43" s="66" customFormat="1" ht="12.75">
      <c r="F168" s="74"/>
      <c r="G168" s="38"/>
      <c r="H168" s="39"/>
      <c r="I168" s="38"/>
      <c r="J168" s="38"/>
      <c r="K168" s="102"/>
      <c r="L168" s="102"/>
      <c r="M168" s="40"/>
      <c r="N168" s="41"/>
      <c r="O168" s="40"/>
      <c r="P168" s="40"/>
      <c r="Q168" s="40"/>
      <c r="R168" s="40"/>
      <c r="S168" s="5"/>
      <c r="U168" s="70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  <c r="AM168" s="291"/>
      <c r="AN168" s="291"/>
      <c r="AO168" s="291"/>
      <c r="AP168" s="291"/>
      <c r="AQ168" s="291"/>
    </row>
    <row r="169" spans="6:43" s="66" customFormat="1" ht="12.75">
      <c r="F169" s="74"/>
      <c r="G169" s="38"/>
      <c r="H169" s="39"/>
      <c r="I169" s="38"/>
      <c r="J169" s="38"/>
      <c r="K169" s="102"/>
      <c r="L169" s="102"/>
      <c r="M169" s="40"/>
      <c r="N169" s="41"/>
      <c r="O169" s="40"/>
      <c r="P169" s="40"/>
      <c r="Q169" s="40"/>
      <c r="R169" s="40"/>
      <c r="S169" s="5"/>
      <c r="U169" s="70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  <c r="AP169" s="291"/>
      <c r="AQ169" s="291"/>
    </row>
    <row r="170" spans="6:43" s="66" customFormat="1" ht="12.75">
      <c r="F170" s="74"/>
      <c r="G170" s="38"/>
      <c r="H170" s="39"/>
      <c r="I170" s="38"/>
      <c r="J170" s="38"/>
      <c r="K170" s="102"/>
      <c r="L170" s="102"/>
      <c r="M170" s="40"/>
      <c r="N170" s="41"/>
      <c r="O170" s="40"/>
      <c r="P170" s="40"/>
      <c r="Q170" s="40"/>
      <c r="R170" s="40"/>
      <c r="S170" s="5"/>
      <c r="U170" s="70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  <c r="AM170" s="291"/>
      <c r="AN170" s="291"/>
      <c r="AO170" s="291"/>
      <c r="AP170" s="291"/>
      <c r="AQ170" s="291"/>
    </row>
    <row r="171" spans="6:43" s="66" customFormat="1" ht="12.75">
      <c r="F171" s="74"/>
      <c r="G171" s="38"/>
      <c r="H171" s="39"/>
      <c r="I171" s="38"/>
      <c r="J171" s="38"/>
      <c r="K171" s="102"/>
      <c r="L171" s="102"/>
      <c r="M171" s="40"/>
      <c r="N171" s="41"/>
      <c r="O171" s="40"/>
      <c r="P171" s="40"/>
      <c r="Q171" s="40"/>
      <c r="R171" s="40"/>
      <c r="S171" s="5"/>
      <c r="U171" s="70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  <c r="AM171" s="291"/>
      <c r="AN171" s="291"/>
      <c r="AO171" s="291"/>
      <c r="AP171" s="291"/>
      <c r="AQ171" s="291"/>
    </row>
    <row r="172" spans="6:43" s="66" customFormat="1" ht="12.75">
      <c r="F172" s="74"/>
      <c r="G172" s="38"/>
      <c r="H172" s="39"/>
      <c r="I172" s="38"/>
      <c r="J172" s="38"/>
      <c r="K172" s="102"/>
      <c r="L172" s="102"/>
      <c r="M172" s="40"/>
      <c r="N172" s="41"/>
      <c r="O172" s="40"/>
      <c r="P172" s="40"/>
      <c r="Q172" s="40"/>
      <c r="R172" s="40"/>
      <c r="S172" s="5"/>
      <c r="U172" s="70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  <c r="AM172" s="291"/>
      <c r="AN172" s="291"/>
      <c r="AO172" s="291"/>
      <c r="AP172" s="291"/>
      <c r="AQ172" s="291"/>
    </row>
    <row r="173" spans="6:43" s="66" customFormat="1" ht="12.75">
      <c r="F173" s="74"/>
      <c r="G173" s="38"/>
      <c r="H173" s="39"/>
      <c r="I173" s="38"/>
      <c r="J173" s="38"/>
      <c r="K173" s="102"/>
      <c r="L173" s="102"/>
      <c r="M173" s="40"/>
      <c r="N173" s="41"/>
      <c r="O173" s="40"/>
      <c r="P173" s="40"/>
      <c r="Q173" s="40"/>
      <c r="R173" s="40"/>
      <c r="S173" s="5"/>
      <c r="U173" s="70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  <c r="AM173" s="291"/>
      <c r="AN173" s="291"/>
      <c r="AO173" s="291"/>
      <c r="AP173" s="291"/>
      <c r="AQ173" s="291"/>
    </row>
    <row r="174" spans="6:43" s="66" customFormat="1" ht="12.75">
      <c r="F174" s="74"/>
      <c r="G174" s="38"/>
      <c r="H174" s="39"/>
      <c r="I174" s="38"/>
      <c r="J174" s="38"/>
      <c r="K174" s="102"/>
      <c r="L174" s="102"/>
      <c r="M174" s="40"/>
      <c r="N174" s="41"/>
      <c r="O174" s="40"/>
      <c r="P174" s="40"/>
      <c r="Q174" s="40"/>
      <c r="R174" s="40"/>
      <c r="S174" s="5"/>
      <c r="U174" s="70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  <c r="AM174" s="291"/>
      <c r="AN174" s="291"/>
      <c r="AO174" s="291"/>
      <c r="AP174" s="291"/>
      <c r="AQ174" s="291"/>
    </row>
    <row r="175" spans="6:43" s="66" customFormat="1" ht="12.75">
      <c r="F175" s="74"/>
      <c r="G175" s="38"/>
      <c r="H175" s="39"/>
      <c r="I175" s="38"/>
      <c r="J175" s="38"/>
      <c r="K175" s="102"/>
      <c r="L175" s="102"/>
      <c r="M175" s="40"/>
      <c r="N175" s="41"/>
      <c r="O175" s="40"/>
      <c r="P175" s="40"/>
      <c r="Q175" s="40"/>
      <c r="R175" s="40"/>
      <c r="S175" s="5"/>
      <c r="U175" s="70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  <c r="AM175" s="291"/>
      <c r="AN175" s="291"/>
      <c r="AO175" s="291"/>
      <c r="AP175" s="291"/>
      <c r="AQ175" s="291"/>
    </row>
    <row r="176" spans="6:43" s="66" customFormat="1" ht="12.75">
      <c r="F176" s="74"/>
      <c r="G176" s="38"/>
      <c r="H176" s="39"/>
      <c r="I176" s="38"/>
      <c r="J176" s="38"/>
      <c r="K176" s="102"/>
      <c r="L176" s="102"/>
      <c r="M176" s="40"/>
      <c r="N176" s="41"/>
      <c r="O176" s="40"/>
      <c r="P176" s="40"/>
      <c r="Q176" s="40"/>
      <c r="R176" s="40"/>
      <c r="S176" s="5"/>
      <c r="U176" s="70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  <c r="AM176" s="291"/>
      <c r="AN176" s="291"/>
      <c r="AO176" s="291"/>
      <c r="AP176" s="291"/>
      <c r="AQ176" s="291"/>
    </row>
    <row r="177" spans="6:43" s="66" customFormat="1" ht="12.75">
      <c r="F177" s="74"/>
      <c r="G177" s="38"/>
      <c r="H177" s="39"/>
      <c r="I177" s="38"/>
      <c r="J177" s="38"/>
      <c r="K177" s="102"/>
      <c r="L177" s="102"/>
      <c r="M177" s="40"/>
      <c r="N177" s="41"/>
      <c r="O177" s="40"/>
      <c r="P177" s="40"/>
      <c r="Q177" s="40"/>
      <c r="R177" s="40"/>
      <c r="S177" s="5"/>
      <c r="U177" s="70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  <c r="AM177" s="291"/>
      <c r="AN177" s="291"/>
      <c r="AO177" s="291"/>
      <c r="AP177" s="291"/>
      <c r="AQ177" s="291"/>
    </row>
    <row r="178" spans="6:43" s="66" customFormat="1" ht="12.75">
      <c r="F178" s="74"/>
      <c r="G178" s="38"/>
      <c r="H178" s="39"/>
      <c r="I178" s="38"/>
      <c r="J178" s="38"/>
      <c r="K178" s="102"/>
      <c r="L178" s="102"/>
      <c r="M178" s="40"/>
      <c r="N178" s="41"/>
      <c r="O178" s="40"/>
      <c r="P178" s="40"/>
      <c r="Q178" s="40"/>
      <c r="R178" s="40"/>
      <c r="S178" s="5"/>
      <c r="U178" s="70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  <c r="AM178" s="291"/>
      <c r="AN178" s="291"/>
      <c r="AO178" s="291"/>
      <c r="AP178" s="291"/>
      <c r="AQ178" s="291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9055118110236221" right="0.7874015748031497" top="0.3937007874015748" bottom="0.4724409448818898" header="0" footer="0.2755905511811024"/>
  <pageSetup horizontalDpi="600" verticalDpi="600" orientation="landscape" paperSize="5" scale="48" r:id="rId1"/>
  <headerFooter alignWithMargins="0">
    <oddFooter>&amp;C&amp;P DE &amp;N&amp;R&amp;8PROYECTO : GAF</oddFoot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W78"/>
  <sheetViews>
    <sheetView workbookViewId="0" topLeftCell="A1">
      <pane xSplit="14" ySplit="7" topLeftCell="O64" activePane="bottomRight" state="frozen"/>
      <selection pane="topLeft" activeCell="A1" sqref="A1"/>
      <selection pane="topRight" activeCell="O1" sqref="O1"/>
      <selection pane="bottomLeft" activeCell="A8" sqref="A8"/>
      <selection pane="bottomRight" activeCell="S65" sqref="S65"/>
    </sheetView>
  </sheetViews>
  <sheetFormatPr defaultColWidth="11.421875" defaultRowHeight="12.75"/>
  <cols>
    <col min="1" max="1" width="4.7109375" style="11" customWidth="1"/>
    <col min="2" max="2" width="5.00390625" style="11" customWidth="1"/>
    <col min="3" max="3" width="4.8515625" style="11" bestFit="1" customWidth="1"/>
    <col min="4" max="4" width="3.421875" style="11" bestFit="1" customWidth="1"/>
    <col min="5" max="5" width="5.28125" style="11" customWidth="1"/>
    <col min="6" max="6" width="38.57421875" style="11" customWidth="1"/>
    <col min="7" max="7" width="18.28125" style="286" bestFit="1" customWidth="1"/>
    <col min="8" max="8" width="1.7109375" style="287" customWidth="1"/>
    <col min="9" max="9" width="11.28125" style="288" hidden="1" customWidth="1"/>
    <col min="10" max="10" width="13.140625" style="288" hidden="1" customWidth="1"/>
    <col min="11" max="11" width="13.00390625" style="288" hidden="1" customWidth="1"/>
    <col min="12" max="12" width="9.57421875" style="288" hidden="1" customWidth="1"/>
    <col min="13" max="13" width="18.28125" style="252" hidden="1" customWidth="1"/>
    <col min="14" max="14" width="1.7109375" style="280" customWidth="1"/>
    <col min="15" max="16" width="15.140625" style="252" customWidth="1"/>
    <col min="17" max="17" width="14.140625" style="252" customWidth="1"/>
    <col min="18" max="18" width="15.57421875" style="252" customWidth="1"/>
    <col min="19" max="19" width="3.00390625" style="115" customWidth="1"/>
    <col min="20" max="20" width="14.00390625" style="115" customWidth="1"/>
    <col min="21" max="21" width="11.140625" style="115" bestFit="1" customWidth="1"/>
    <col min="22" max="22" width="11.8515625" style="115" customWidth="1"/>
    <col min="23" max="23" width="11.421875" style="11" customWidth="1"/>
    <col min="24" max="16384" width="11.57421875" style="11" customWidth="1"/>
  </cols>
  <sheetData>
    <row r="1" spans="1:23" ht="12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12">
      <c r="A2" s="350" t="s">
        <v>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</row>
    <row r="3" spans="1:23" ht="12">
      <c r="A3" s="350" t="s">
        <v>71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</row>
    <row r="4" spans="6:20" ht="12.75" thickBot="1">
      <c r="F4" s="76"/>
      <c r="G4" s="168"/>
      <c r="H4" s="169"/>
      <c r="I4" s="253"/>
      <c r="J4" s="253"/>
      <c r="K4" s="254"/>
      <c r="L4" s="254"/>
      <c r="M4" s="170"/>
      <c r="N4" s="172"/>
      <c r="O4" s="170"/>
      <c r="P4" s="170"/>
      <c r="Q4" s="170"/>
      <c r="R4" s="170"/>
      <c r="S4" s="168"/>
      <c r="T4" s="168"/>
    </row>
    <row r="5" spans="1:23" s="256" customFormat="1" ht="13.5" customHeight="1" thickBot="1">
      <c r="A5" s="364" t="s">
        <v>3</v>
      </c>
      <c r="B5" s="364" t="s">
        <v>4</v>
      </c>
      <c r="C5" s="364" t="s">
        <v>5</v>
      </c>
      <c r="D5" s="364" t="s">
        <v>6</v>
      </c>
      <c r="E5" s="364" t="s">
        <v>7</v>
      </c>
      <c r="F5" s="364" t="s">
        <v>8</v>
      </c>
      <c r="G5" s="362" t="s">
        <v>9</v>
      </c>
      <c r="H5" s="175"/>
      <c r="I5" s="367" t="s">
        <v>10</v>
      </c>
      <c r="J5" s="367"/>
      <c r="K5" s="362" t="s">
        <v>11</v>
      </c>
      <c r="L5" s="362" t="s">
        <v>12</v>
      </c>
      <c r="M5" s="362" t="s">
        <v>13</v>
      </c>
      <c r="N5" s="176"/>
      <c r="O5" s="362" t="s">
        <v>96</v>
      </c>
      <c r="P5" s="362"/>
      <c r="Q5" s="362"/>
      <c r="R5" s="362"/>
      <c r="S5" s="255"/>
      <c r="T5" s="362" t="s">
        <v>72</v>
      </c>
      <c r="U5" s="362"/>
      <c r="V5" s="362"/>
      <c r="W5" s="362"/>
    </row>
    <row r="6" spans="1:23" s="256" customFormat="1" ht="24.75" thickBot="1">
      <c r="A6" s="365"/>
      <c r="B6" s="365"/>
      <c r="C6" s="365"/>
      <c r="D6" s="365"/>
      <c r="E6" s="365"/>
      <c r="F6" s="365"/>
      <c r="G6" s="366"/>
      <c r="H6" s="175"/>
      <c r="I6" s="179" t="s">
        <v>14</v>
      </c>
      <c r="J6" s="180" t="s">
        <v>15</v>
      </c>
      <c r="K6" s="366"/>
      <c r="L6" s="366"/>
      <c r="M6" s="366"/>
      <c r="N6" s="176"/>
      <c r="O6" s="18" t="s">
        <v>16</v>
      </c>
      <c r="P6" s="18" t="s">
        <v>17</v>
      </c>
      <c r="Q6" s="18" t="s">
        <v>18</v>
      </c>
      <c r="R6" s="18" t="s">
        <v>19</v>
      </c>
      <c r="S6" s="255"/>
      <c r="T6" s="18" t="s">
        <v>74</v>
      </c>
      <c r="U6" s="18" t="s">
        <v>75</v>
      </c>
      <c r="V6" s="18" t="s">
        <v>76</v>
      </c>
      <c r="W6" s="18" t="s">
        <v>77</v>
      </c>
    </row>
    <row r="7" spans="1:23" s="74" customFormat="1" ht="12">
      <c r="A7" s="19"/>
      <c r="B7" s="19"/>
      <c r="C7" s="19"/>
      <c r="D7" s="19"/>
      <c r="E7" s="19"/>
      <c r="F7" s="19"/>
      <c r="G7" s="257"/>
      <c r="H7" s="107"/>
      <c r="I7" s="241"/>
      <c r="J7" s="241"/>
      <c r="K7" s="241"/>
      <c r="L7" s="241"/>
      <c r="M7" s="241"/>
      <c r="N7" s="113"/>
      <c r="O7" s="241"/>
      <c r="P7" s="241"/>
      <c r="Q7" s="258"/>
      <c r="R7" s="258"/>
      <c r="S7" s="115"/>
      <c r="T7" s="259"/>
      <c r="U7" s="259"/>
      <c r="V7" s="258"/>
      <c r="W7" s="258"/>
    </row>
    <row r="8" spans="1:23" s="74" customFormat="1" ht="12">
      <c r="A8" s="106">
        <v>1</v>
      </c>
      <c r="B8" s="23"/>
      <c r="C8" s="23"/>
      <c r="D8" s="23"/>
      <c r="E8" s="23"/>
      <c r="F8" s="22" t="s">
        <v>20</v>
      </c>
      <c r="G8" s="260">
        <f>+G10+G49</f>
        <v>1424227970</v>
      </c>
      <c r="H8" s="107"/>
      <c r="I8" s="260">
        <f>+I10+I49</f>
        <v>0</v>
      </c>
      <c r="J8" s="260">
        <f>+J10+J49</f>
        <v>0</v>
      </c>
      <c r="K8" s="260">
        <f>+K10+K49</f>
        <v>0</v>
      </c>
      <c r="L8" s="260">
        <f>+L10+L49</f>
        <v>0</v>
      </c>
      <c r="M8" s="260">
        <f>+G8+I8-J8</f>
        <v>1424227970</v>
      </c>
      <c r="N8" s="113"/>
      <c r="O8" s="113">
        <f>+O10+O49</f>
        <v>1388124124</v>
      </c>
      <c r="P8" s="113">
        <f>+P10+P49</f>
        <v>1388124124</v>
      </c>
      <c r="Q8" s="113">
        <f>+Q10+Q49</f>
        <v>1374270949</v>
      </c>
      <c r="R8" s="113">
        <f>+R10+R49</f>
        <v>1361954741</v>
      </c>
      <c r="S8" s="115"/>
      <c r="T8" s="112">
        <f>+M8-O8</f>
        <v>36103846</v>
      </c>
      <c r="U8" s="112">
        <f>+O8-P8</f>
        <v>0</v>
      </c>
      <c r="V8" s="112">
        <f>+P8-Q8</f>
        <v>13853175</v>
      </c>
      <c r="W8" s="112">
        <f>+Q8-R8</f>
        <v>12316208</v>
      </c>
    </row>
    <row r="9" spans="1:23" s="74" customFormat="1" ht="12">
      <c r="A9" s="23"/>
      <c r="B9" s="23"/>
      <c r="C9" s="23"/>
      <c r="D9" s="23"/>
      <c r="E9" s="23"/>
      <c r="F9" s="23"/>
      <c r="G9" s="260"/>
      <c r="H9" s="107"/>
      <c r="I9" s="113"/>
      <c r="J9" s="113"/>
      <c r="K9" s="113"/>
      <c r="L9" s="113"/>
      <c r="M9" s="260"/>
      <c r="N9" s="113"/>
      <c r="O9" s="113"/>
      <c r="P9" s="113"/>
      <c r="Q9" s="113"/>
      <c r="R9" s="113"/>
      <c r="S9" s="115"/>
      <c r="T9" s="112"/>
      <c r="U9" s="112"/>
      <c r="V9" s="112"/>
      <c r="W9" s="112"/>
    </row>
    <row r="10" spans="1:23" s="261" customFormat="1" ht="12">
      <c r="A10" s="106">
        <v>1</v>
      </c>
      <c r="B10" s="106">
        <v>0</v>
      </c>
      <c r="C10" s="106"/>
      <c r="D10" s="106"/>
      <c r="E10" s="106"/>
      <c r="F10" s="24" t="s">
        <v>21</v>
      </c>
      <c r="G10" s="108">
        <f>+G12+G39+G42</f>
        <v>994876270</v>
      </c>
      <c r="H10" s="108"/>
      <c r="I10" s="112"/>
      <c r="J10" s="112"/>
      <c r="K10" s="112"/>
      <c r="L10" s="112"/>
      <c r="M10" s="260">
        <f>+G10+I10-J10</f>
        <v>994876270</v>
      </c>
      <c r="N10" s="116"/>
      <c r="O10" s="112">
        <f>+O12+O39+O42</f>
        <v>945289432</v>
      </c>
      <c r="P10" s="112">
        <f>+P12+P39+P42</f>
        <v>945289432</v>
      </c>
      <c r="Q10" s="112">
        <f>+Q12+Q39+Q42</f>
        <v>945289432</v>
      </c>
      <c r="R10" s="112">
        <f>+R12+R39+R42</f>
        <v>942239432</v>
      </c>
      <c r="S10" s="117"/>
      <c r="T10" s="112">
        <f>+M10-O10</f>
        <v>49586838</v>
      </c>
      <c r="U10" s="112">
        <f>+O10-P10</f>
        <v>0</v>
      </c>
      <c r="V10" s="112">
        <f>+P10-Q10</f>
        <v>0</v>
      </c>
      <c r="W10" s="112">
        <f>+Q10-R10</f>
        <v>3050000</v>
      </c>
    </row>
    <row r="11" spans="1:23" s="74" customFormat="1" ht="12">
      <c r="A11" s="109"/>
      <c r="B11" s="109"/>
      <c r="C11" s="109"/>
      <c r="D11" s="109"/>
      <c r="E11" s="109"/>
      <c r="F11" s="24"/>
      <c r="G11" s="121"/>
      <c r="H11" s="108"/>
      <c r="I11" s="111"/>
      <c r="J11" s="111"/>
      <c r="K11" s="111"/>
      <c r="L11" s="111"/>
      <c r="M11" s="121"/>
      <c r="N11" s="111"/>
      <c r="O11" s="111"/>
      <c r="P11" s="111"/>
      <c r="Q11" s="111"/>
      <c r="R11" s="111"/>
      <c r="S11" s="115"/>
      <c r="T11" s="111"/>
      <c r="U11" s="111"/>
      <c r="V11" s="111"/>
      <c r="W11" s="111"/>
    </row>
    <row r="12" spans="1:23" s="261" customFormat="1" ht="24">
      <c r="A12" s="106">
        <v>1</v>
      </c>
      <c r="B12" s="106">
        <v>0</v>
      </c>
      <c r="C12" s="106">
        <v>1</v>
      </c>
      <c r="D12" s="106"/>
      <c r="E12" s="106"/>
      <c r="F12" s="24" t="s">
        <v>22</v>
      </c>
      <c r="G12" s="121">
        <v>531299270</v>
      </c>
      <c r="H12" s="108"/>
      <c r="I12" s="112"/>
      <c r="J12" s="112"/>
      <c r="K12" s="112"/>
      <c r="L12" s="112"/>
      <c r="M12" s="260">
        <f>+G12+I12-J12</f>
        <v>531299270</v>
      </c>
      <c r="N12" s="112"/>
      <c r="O12" s="112">
        <f>+O14+O18+O22+O32+O35</f>
        <v>538720213</v>
      </c>
      <c r="P12" s="112">
        <f>+P14+P18+P22+P32+P35</f>
        <v>538720213</v>
      </c>
      <c r="Q12" s="112">
        <f>+Q14+Q18+Q22+Q32+Q35</f>
        <v>538720213</v>
      </c>
      <c r="R12" s="112">
        <f>+R14+R18+R22+R32+R35</f>
        <v>538720213</v>
      </c>
      <c r="S12" s="117"/>
      <c r="T12" s="112">
        <f>+M12-O12</f>
        <v>-7420943</v>
      </c>
      <c r="U12" s="112">
        <f>+O12-P12</f>
        <v>0</v>
      </c>
      <c r="V12" s="112">
        <f>+P12-Q12</f>
        <v>0</v>
      </c>
      <c r="W12" s="112">
        <f>+Q12-R12</f>
        <v>0</v>
      </c>
    </row>
    <row r="13" spans="1:23" s="261" customFormat="1" ht="12">
      <c r="A13" s="106"/>
      <c r="B13" s="106"/>
      <c r="C13" s="106"/>
      <c r="D13" s="106"/>
      <c r="E13" s="106"/>
      <c r="F13" s="24"/>
      <c r="G13" s="121"/>
      <c r="H13" s="108"/>
      <c r="I13" s="112"/>
      <c r="J13" s="112"/>
      <c r="K13" s="112"/>
      <c r="L13" s="112"/>
      <c r="M13" s="121"/>
      <c r="N13" s="112"/>
      <c r="O13" s="112"/>
      <c r="P13" s="112"/>
      <c r="Q13" s="112"/>
      <c r="R13" s="112"/>
      <c r="S13" s="117"/>
      <c r="T13" s="112"/>
      <c r="U13" s="112"/>
      <c r="V13" s="112"/>
      <c r="W13" s="112"/>
    </row>
    <row r="14" spans="1:23" s="261" customFormat="1" ht="12">
      <c r="A14" s="106">
        <v>1</v>
      </c>
      <c r="B14" s="106">
        <v>0</v>
      </c>
      <c r="C14" s="106">
        <v>1</v>
      </c>
      <c r="D14" s="106">
        <v>1</v>
      </c>
      <c r="E14" s="106"/>
      <c r="F14" s="24" t="s">
        <v>23</v>
      </c>
      <c r="G14" s="121">
        <v>384839550</v>
      </c>
      <c r="H14" s="108"/>
      <c r="I14" s="112"/>
      <c r="J14" s="112"/>
      <c r="K14" s="112"/>
      <c r="L14" s="112"/>
      <c r="M14" s="260">
        <f>+G14+I14-J14</f>
        <v>384839550</v>
      </c>
      <c r="N14" s="112"/>
      <c r="O14" s="112">
        <f>SUM(O15:O16)</f>
        <v>384839550</v>
      </c>
      <c r="P14" s="112">
        <f>SUM(P15:P16)</f>
        <v>384839550</v>
      </c>
      <c r="Q14" s="112">
        <f>SUM(Q15:Q16)</f>
        <v>384839550</v>
      </c>
      <c r="R14" s="112">
        <f>SUM(R15:R16)</f>
        <v>384839550</v>
      </c>
      <c r="S14" s="117"/>
      <c r="T14" s="112">
        <f>+M14-O14</f>
        <v>0</v>
      </c>
      <c r="U14" s="112">
        <f aca="true" t="shared" si="0" ref="U14:W16">+O14-P14</f>
        <v>0</v>
      </c>
      <c r="V14" s="112">
        <f t="shared" si="0"/>
        <v>0</v>
      </c>
      <c r="W14" s="112">
        <f t="shared" si="0"/>
        <v>0</v>
      </c>
    </row>
    <row r="15" spans="1:23" s="74" customFormat="1" ht="12">
      <c r="A15" s="109">
        <v>1</v>
      </c>
      <c r="B15" s="109">
        <v>0</v>
      </c>
      <c r="C15" s="109">
        <v>1</v>
      </c>
      <c r="D15" s="109">
        <v>1</v>
      </c>
      <c r="E15" s="109">
        <v>1</v>
      </c>
      <c r="F15" s="29" t="s">
        <v>52</v>
      </c>
      <c r="G15" s="262">
        <v>384839550</v>
      </c>
      <c r="H15" s="110"/>
      <c r="I15" s="111"/>
      <c r="J15" s="111"/>
      <c r="K15" s="111"/>
      <c r="L15" s="111"/>
      <c r="M15" s="111">
        <f>+G15+J15+L15-K15-I15</f>
        <v>384839550</v>
      </c>
      <c r="N15" s="111"/>
      <c r="O15" s="111">
        <f>189445220+106803233+88591097</f>
        <v>384839550</v>
      </c>
      <c r="P15" s="111">
        <f>189445220+106803233+88591097</f>
        <v>384839550</v>
      </c>
      <c r="Q15" s="111">
        <f>189445220+106803233+88591097</f>
        <v>384839550</v>
      </c>
      <c r="R15" s="111">
        <f>189445220+106803233+88591097</f>
        <v>384839550</v>
      </c>
      <c r="S15" s="115"/>
      <c r="T15" s="110">
        <f>+M15-O15</f>
        <v>0</v>
      </c>
      <c r="U15" s="110">
        <f t="shared" si="0"/>
        <v>0</v>
      </c>
      <c r="V15" s="110">
        <f t="shared" si="0"/>
        <v>0</v>
      </c>
      <c r="W15" s="110">
        <f t="shared" si="0"/>
        <v>0</v>
      </c>
    </row>
    <row r="16" spans="1:23" s="74" customFormat="1" ht="12">
      <c r="A16" s="109">
        <v>1</v>
      </c>
      <c r="B16" s="109">
        <v>0</v>
      </c>
      <c r="C16" s="109">
        <v>1</v>
      </c>
      <c r="D16" s="109">
        <v>1</v>
      </c>
      <c r="E16" s="109">
        <v>2</v>
      </c>
      <c r="F16" s="29" t="s">
        <v>53</v>
      </c>
      <c r="G16" s="110">
        <v>0</v>
      </c>
      <c r="H16" s="110"/>
      <c r="I16" s="111"/>
      <c r="J16" s="111"/>
      <c r="K16" s="111"/>
      <c r="L16" s="111"/>
      <c r="M16" s="111">
        <f>+G16+J16+L16-K16-I16</f>
        <v>0</v>
      </c>
      <c r="N16" s="111"/>
      <c r="O16" s="110">
        <v>0</v>
      </c>
      <c r="P16" s="110">
        <v>0</v>
      </c>
      <c r="Q16" s="110">
        <v>0</v>
      </c>
      <c r="R16" s="110">
        <v>0</v>
      </c>
      <c r="S16" s="115"/>
      <c r="T16" s="110">
        <f>+M16-O16</f>
        <v>0</v>
      </c>
      <c r="U16" s="110">
        <f t="shared" si="0"/>
        <v>0</v>
      </c>
      <c r="V16" s="110">
        <f t="shared" si="0"/>
        <v>0</v>
      </c>
      <c r="W16" s="110">
        <f t="shared" si="0"/>
        <v>0</v>
      </c>
    </row>
    <row r="17" spans="1:23" s="74" customFormat="1" ht="12">
      <c r="A17" s="109"/>
      <c r="B17" s="109"/>
      <c r="C17" s="109"/>
      <c r="D17" s="109"/>
      <c r="E17" s="109"/>
      <c r="F17" s="29"/>
      <c r="G17" s="262"/>
      <c r="H17" s="110"/>
      <c r="I17" s="111"/>
      <c r="J17" s="111"/>
      <c r="K17" s="111"/>
      <c r="L17" s="111"/>
      <c r="M17" s="262"/>
      <c r="N17" s="111"/>
      <c r="O17" s="111"/>
      <c r="P17" s="111"/>
      <c r="Q17" s="111"/>
      <c r="R17" s="111"/>
      <c r="S17" s="115"/>
      <c r="T17" s="111"/>
      <c r="U17" s="111"/>
      <c r="V17" s="111"/>
      <c r="W17" s="111"/>
    </row>
    <row r="18" spans="1:23" s="261" customFormat="1" ht="12">
      <c r="A18" s="106">
        <v>1</v>
      </c>
      <c r="B18" s="106">
        <v>0</v>
      </c>
      <c r="C18" s="106">
        <v>1</v>
      </c>
      <c r="D18" s="106">
        <v>4</v>
      </c>
      <c r="E18" s="106"/>
      <c r="F18" s="24" t="s">
        <v>24</v>
      </c>
      <c r="G18" s="121">
        <v>49577000</v>
      </c>
      <c r="H18" s="108"/>
      <c r="I18" s="116"/>
      <c r="J18" s="116"/>
      <c r="K18" s="116"/>
      <c r="L18" s="116"/>
      <c r="M18" s="121">
        <f>+G18+I18-J18</f>
        <v>49577000</v>
      </c>
      <c r="N18" s="112"/>
      <c r="O18" s="112">
        <f>SUM(O19:O20)</f>
        <v>49576934</v>
      </c>
      <c r="P18" s="112">
        <f>SUM(P19:P20)</f>
        <v>49576934</v>
      </c>
      <c r="Q18" s="112">
        <f>SUM(Q19:Q20)</f>
        <v>49576934</v>
      </c>
      <c r="R18" s="112">
        <f>SUM(R19:R20)</f>
        <v>49576934</v>
      </c>
      <c r="S18" s="117"/>
      <c r="T18" s="112">
        <f>+M18-O18</f>
        <v>66</v>
      </c>
      <c r="U18" s="112">
        <f aca="true" t="shared" si="1" ref="U18:W20">+O18-P18</f>
        <v>0</v>
      </c>
      <c r="V18" s="112">
        <f t="shared" si="1"/>
        <v>0</v>
      </c>
      <c r="W18" s="112">
        <f t="shared" si="1"/>
        <v>0</v>
      </c>
    </row>
    <row r="19" spans="1:23" s="74" customFormat="1" ht="12">
      <c r="A19" s="109">
        <v>1</v>
      </c>
      <c r="B19" s="109">
        <v>0</v>
      </c>
      <c r="C19" s="109">
        <v>1</v>
      </c>
      <c r="D19" s="109">
        <v>4</v>
      </c>
      <c r="E19" s="109">
        <v>1</v>
      </c>
      <c r="F19" s="29" t="s">
        <v>54</v>
      </c>
      <c r="G19" s="262">
        <v>4465700</v>
      </c>
      <c r="H19" s="110"/>
      <c r="I19" s="111"/>
      <c r="J19" s="111"/>
      <c r="K19" s="111"/>
      <c r="L19" s="111"/>
      <c r="M19" s="111">
        <f>+G19+J19+L19-K19-I19</f>
        <v>4465700</v>
      </c>
      <c r="N19" s="111"/>
      <c r="O19" s="111">
        <f>2232823+2232823</f>
        <v>4465646</v>
      </c>
      <c r="P19" s="111">
        <f>2232823+2232823</f>
        <v>4465646</v>
      </c>
      <c r="Q19" s="111">
        <f>2232823+2232823</f>
        <v>4465646</v>
      </c>
      <c r="R19" s="111">
        <f>2232823+2232823</f>
        <v>4465646</v>
      </c>
      <c r="S19" s="115"/>
      <c r="T19" s="191">
        <f>+M19-O19</f>
        <v>54</v>
      </c>
      <c r="U19" s="110">
        <f t="shared" si="1"/>
        <v>0</v>
      </c>
      <c r="V19" s="110">
        <f t="shared" si="1"/>
        <v>0</v>
      </c>
      <c r="W19" s="110">
        <f t="shared" si="1"/>
        <v>0</v>
      </c>
    </row>
    <row r="20" spans="1:23" s="74" customFormat="1" ht="12">
      <c r="A20" s="109">
        <v>1</v>
      </c>
      <c r="B20" s="109">
        <v>0</v>
      </c>
      <c r="C20" s="109">
        <v>1</v>
      </c>
      <c r="D20" s="109">
        <v>4</v>
      </c>
      <c r="E20" s="109">
        <v>2</v>
      </c>
      <c r="F20" s="29" t="s">
        <v>55</v>
      </c>
      <c r="G20" s="262">
        <v>45111300</v>
      </c>
      <c r="H20" s="110"/>
      <c r="I20" s="111"/>
      <c r="J20" s="111"/>
      <c r="K20" s="111"/>
      <c r="L20" s="111"/>
      <c r="M20" s="111">
        <f>+G20+J20+L20-K20-I20</f>
        <v>45111300</v>
      </c>
      <c r="N20" s="111"/>
      <c r="O20" s="111">
        <f>22555644+22555644</f>
        <v>45111288</v>
      </c>
      <c r="P20" s="111">
        <f>22555644+22555644</f>
        <v>45111288</v>
      </c>
      <c r="Q20" s="111">
        <f>22555644+22555644</f>
        <v>45111288</v>
      </c>
      <c r="R20" s="111">
        <f>22555644+22555644</f>
        <v>45111288</v>
      </c>
      <c r="S20" s="115"/>
      <c r="T20" s="191">
        <f>+M20-O20</f>
        <v>12</v>
      </c>
      <c r="U20" s="110">
        <f t="shared" si="1"/>
        <v>0</v>
      </c>
      <c r="V20" s="110">
        <f t="shared" si="1"/>
        <v>0</v>
      </c>
      <c r="W20" s="110">
        <f t="shared" si="1"/>
        <v>0</v>
      </c>
    </row>
    <row r="21" spans="1:23" s="74" customFormat="1" ht="12">
      <c r="A21" s="109"/>
      <c r="B21" s="109"/>
      <c r="C21" s="109"/>
      <c r="D21" s="109"/>
      <c r="E21" s="109"/>
      <c r="F21" s="29"/>
      <c r="G21" s="262"/>
      <c r="H21" s="110"/>
      <c r="I21" s="111"/>
      <c r="J21" s="111"/>
      <c r="K21" s="111"/>
      <c r="L21" s="111"/>
      <c r="M21" s="262"/>
      <c r="N21" s="111"/>
      <c r="O21" s="111"/>
      <c r="P21" s="111"/>
      <c r="Q21" s="111"/>
      <c r="R21" s="111"/>
      <c r="S21" s="115"/>
      <c r="T21" s="111"/>
      <c r="U21" s="111"/>
      <c r="V21" s="111"/>
      <c r="W21" s="111"/>
    </row>
    <row r="22" spans="1:23" s="74" customFormat="1" ht="12">
      <c r="A22" s="51">
        <v>1</v>
      </c>
      <c r="B22" s="51">
        <v>0</v>
      </c>
      <c r="C22" s="51">
        <v>1</v>
      </c>
      <c r="D22" s="51">
        <v>5</v>
      </c>
      <c r="E22" s="51"/>
      <c r="F22" s="24" t="s">
        <v>25</v>
      </c>
      <c r="G22" s="121">
        <v>95672000</v>
      </c>
      <c r="H22" s="108"/>
      <c r="I22" s="111"/>
      <c r="J22" s="111"/>
      <c r="K22" s="111"/>
      <c r="L22" s="111"/>
      <c r="M22" s="121">
        <f>+G22+I22-J22</f>
        <v>95672000</v>
      </c>
      <c r="N22" s="112"/>
      <c r="O22" s="112">
        <f>SUM(O23:O30)</f>
        <v>95672000</v>
      </c>
      <c r="P22" s="112">
        <f>SUM(P23:P30)</f>
        <v>95672000</v>
      </c>
      <c r="Q22" s="112">
        <f>SUM(Q23:Q30)</f>
        <v>95672000</v>
      </c>
      <c r="R22" s="112">
        <f>SUM(R23:R30)</f>
        <v>95672000</v>
      </c>
      <c r="S22" s="115"/>
      <c r="T22" s="112">
        <f>+M22-O22</f>
        <v>0</v>
      </c>
      <c r="U22" s="112">
        <f>+O22-P22</f>
        <v>0</v>
      </c>
      <c r="V22" s="112">
        <f>+P22-Q22</f>
        <v>0</v>
      </c>
      <c r="W22" s="112">
        <f>+Q22-R22</f>
        <v>0</v>
      </c>
    </row>
    <row r="23" spans="1:23" s="74" customFormat="1" ht="12">
      <c r="A23" s="109">
        <v>1</v>
      </c>
      <c r="B23" s="109">
        <v>0</v>
      </c>
      <c r="C23" s="109">
        <v>1</v>
      </c>
      <c r="D23" s="109">
        <v>5</v>
      </c>
      <c r="E23" s="109">
        <v>2</v>
      </c>
      <c r="F23" s="29" t="s">
        <v>56</v>
      </c>
      <c r="G23" s="262">
        <v>4000000</v>
      </c>
      <c r="H23" s="110"/>
      <c r="I23" s="111"/>
      <c r="J23" s="111"/>
      <c r="K23" s="111"/>
      <c r="L23" s="111"/>
      <c r="M23" s="111">
        <f aca="true" t="shared" si="2" ref="M23:M30">+G23+J23+L23-K23-I23</f>
        <v>4000000</v>
      </c>
      <c r="N23" s="111"/>
      <c r="O23" s="111">
        <f>2679154+1320846</f>
        <v>4000000</v>
      </c>
      <c r="P23" s="111">
        <f>2679154+1320846</f>
        <v>4000000</v>
      </c>
      <c r="Q23" s="111">
        <f>2679154+1320846</f>
        <v>4000000</v>
      </c>
      <c r="R23" s="111">
        <f>2679154+1320846</f>
        <v>4000000</v>
      </c>
      <c r="S23" s="115"/>
      <c r="T23" s="110">
        <f aca="true" t="shared" si="3" ref="T23:T30">+M23-O23</f>
        <v>0</v>
      </c>
      <c r="U23" s="110">
        <f aca="true" t="shared" si="4" ref="U23:U30">+O23-P23</f>
        <v>0</v>
      </c>
      <c r="V23" s="110">
        <f aca="true" t="shared" si="5" ref="V23:V30">+P23-Q23</f>
        <v>0</v>
      </c>
      <c r="W23" s="110">
        <f aca="true" t="shared" si="6" ref="W23:W30">+Q23-R23</f>
        <v>0</v>
      </c>
    </row>
    <row r="24" spans="1:23" s="74" customFormat="1" ht="12">
      <c r="A24" s="109">
        <v>1</v>
      </c>
      <c r="B24" s="109">
        <v>0</v>
      </c>
      <c r="C24" s="109">
        <v>1</v>
      </c>
      <c r="D24" s="109">
        <v>5</v>
      </c>
      <c r="E24" s="109">
        <v>5</v>
      </c>
      <c r="F24" s="29" t="s">
        <v>57</v>
      </c>
      <c r="G24" s="110">
        <v>0</v>
      </c>
      <c r="H24" s="110"/>
      <c r="I24" s="111"/>
      <c r="J24" s="111"/>
      <c r="K24" s="111"/>
      <c r="L24" s="111"/>
      <c r="M24" s="111">
        <f t="shared" si="2"/>
        <v>0</v>
      </c>
      <c r="N24" s="111"/>
      <c r="O24" s="110">
        <v>0</v>
      </c>
      <c r="P24" s="110">
        <v>0</v>
      </c>
      <c r="Q24" s="110">
        <v>0</v>
      </c>
      <c r="R24" s="110">
        <v>0</v>
      </c>
      <c r="S24" s="115"/>
      <c r="T24" s="110">
        <f t="shared" si="3"/>
        <v>0</v>
      </c>
      <c r="U24" s="110">
        <f t="shared" si="4"/>
        <v>0</v>
      </c>
      <c r="V24" s="110">
        <f t="shared" si="5"/>
        <v>0</v>
      </c>
      <c r="W24" s="110">
        <f t="shared" si="6"/>
        <v>0</v>
      </c>
    </row>
    <row r="25" spans="1:23" s="74" customFormat="1" ht="12">
      <c r="A25" s="109">
        <v>1</v>
      </c>
      <c r="B25" s="109">
        <v>0</v>
      </c>
      <c r="C25" s="109">
        <v>1</v>
      </c>
      <c r="D25" s="109">
        <v>5</v>
      </c>
      <c r="E25" s="109">
        <v>12</v>
      </c>
      <c r="F25" s="29" t="s">
        <v>58</v>
      </c>
      <c r="G25" s="262">
        <v>1000000</v>
      </c>
      <c r="H25" s="110"/>
      <c r="I25" s="111"/>
      <c r="J25" s="111"/>
      <c r="K25" s="111"/>
      <c r="L25" s="111"/>
      <c r="M25" s="111">
        <f t="shared" si="2"/>
        <v>1000000</v>
      </c>
      <c r="N25" s="111"/>
      <c r="O25" s="111">
        <f>455401+248972+295627</f>
        <v>1000000</v>
      </c>
      <c r="P25" s="111">
        <f>455401+248972+295627</f>
        <v>1000000</v>
      </c>
      <c r="Q25" s="111">
        <f>455401+248972+295627</f>
        <v>1000000</v>
      </c>
      <c r="R25" s="111">
        <f>455401+248972+295627</f>
        <v>1000000</v>
      </c>
      <c r="S25" s="115"/>
      <c r="T25" s="110">
        <f t="shared" si="3"/>
        <v>0</v>
      </c>
      <c r="U25" s="110">
        <f t="shared" si="4"/>
        <v>0</v>
      </c>
      <c r="V25" s="110">
        <f t="shared" si="5"/>
        <v>0</v>
      </c>
      <c r="W25" s="110">
        <f t="shared" si="6"/>
        <v>0</v>
      </c>
    </row>
    <row r="26" spans="1:23" s="74" customFormat="1" ht="12">
      <c r="A26" s="109">
        <v>1</v>
      </c>
      <c r="B26" s="109">
        <v>0</v>
      </c>
      <c r="C26" s="109">
        <v>1</v>
      </c>
      <c r="D26" s="109">
        <v>5</v>
      </c>
      <c r="E26" s="109">
        <v>13</v>
      </c>
      <c r="F26" s="29" t="s">
        <v>59</v>
      </c>
      <c r="G26" s="262">
        <v>1100000</v>
      </c>
      <c r="H26" s="110"/>
      <c r="I26" s="111"/>
      <c r="J26" s="111"/>
      <c r="K26" s="111"/>
      <c r="L26" s="111"/>
      <c r="M26" s="111">
        <f t="shared" si="2"/>
        <v>1100000</v>
      </c>
      <c r="N26" s="111"/>
      <c r="O26" s="111">
        <f>706647+393353</f>
        <v>1100000</v>
      </c>
      <c r="P26" s="111">
        <f>706647+393353</f>
        <v>1100000</v>
      </c>
      <c r="Q26" s="111">
        <f>706647+393353</f>
        <v>1100000</v>
      </c>
      <c r="R26" s="111">
        <f>706647+393353</f>
        <v>1100000</v>
      </c>
      <c r="S26" s="115"/>
      <c r="T26" s="110">
        <f t="shared" si="3"/>
        <v>0</v>
      </c>
      <c r="U26" s="110">
        <f t="shared" si="4"/>
        <v>0</v>
      </c>
      <c r="V26" s="110">
        <f t="shared" si="5"/>
        <v>0</v>
      </c>
      <c r="W26" s="110">
        <f t="shared" si="6"/>
        <v>0</v>
      </c>
    </row>
    <row r="27" spans="1:23" s="74" customFormat="1" ht="12">
      <c r="A27" s="109">
        <v>1</v>
      </c>
      <c r="B27" s="109">
        <v>0</v>
      </c>
      <c r="C27" s="109">
        <v>1</v>
      </c>
      <c r="D27" s="109">
        <v>5</v>
      </c>
      <c r="E27" s="109">
        <v>14</v>
      </c>
      <c r="F27" s="29" t="s">
        <v>60</v>
      </c>
      <c r="G27" s="111">
        <v>83572000</v>
      </c>
      <c r="H27" s="110"/>
      <c r="I27" s="111"/>
      <c r="J27" s="111"/>
      <c r="K27" s="111"/>
      <c r="L27" s="111"/>
      <c r="M27" s="111">
        <f t="shared" si="2"/>
        <v>83572000</v>
      </c>
      <c r="N27" s="111"/>
      <c r="O27" s="110">
        <f>398743+1724651+81448606</f>
        <v>83572000</v>
      </c>
      <c r="P27" s="110">
        <f>398743+1724651+81448606</f>
        <v>83572000</v>
      </c>
      <c r="Q27" s="110">
        <f>398743+1724651+81448606</f>
        <v>83572000</v>
      </c>
      <c r="R27" s="110">
        <f>398743+1724651+81448606</f>
        <v>83572000</v>
      </c>
      <c r="S27" s="115"/>
      <c r="T27" s="191">
        <f>+M27-O27</f>
        <v>0</v>
      </c>
      <c r="U27" s="110">
        <f t="shared" si="4"/>
        <v>0</v>
      </c>
      <c r="V27" s="110">
        <f t="shared" si="5"/>
        <v>0</v>
      </c>
      <c r="W27" s="110">
        <f t="shared" si="6"/>
        <v>0</v>
      </c>
    </row>
    <row r="28" spans="1:23" s="74" customFormat="1" ht="12">
      <c r="A28" s="109">
        <v>1</v>
      </c>
      <c r="B28" s="109">
        <v>0</v>
      </c>
      <c r="C28" s="109">
        <v>1</v>
      </c>
      <c r="D28" s="109">
        <v>5</v>
      </c>
      <c r="E28" s="109">
        <v>15</v>
      </c>
      <c r="F28" s="29" t="s">
        <v>61</v>
      </c>
      <c r="G28" s="110">
        <v>0</v>
      </c>
      <c r="H28" s="110"/>
      <c r="I28" s="111"/>
      <c r="J28" s="111"/>
      <c r="K28" s="111"/>
      <c r="L28" s="111"/>
      <c r="M28" s="111">
        <f t="shared" si="2"/>
        <v>0</v>
      </c>
      <c r="N28" s="111"/>
      <c r="O28" s="110">
        <v>0</v>
      </c>
      <c r="P28" s="110">
        <v>0</v>
      </c>
      <c r="Q28" s="110">
        <v>0</v>
      </c>
      <c r="R28" s="110">
        <v>0</v>
      </c>
      <c r="S28" s="115"/>
      <c r="T28" s="110">
        <f t="shared" si="3"/>
        <v>0</v>
      </c>
      <c r="U28" s="110">
        <f t="shared" si="4"/>
        <v>0</v>
      </c>
      <c r="V28" s="110">
        <f t="shared" si="5"/>
        <v>0</v>
      </c>
      <c r="W28" s="110">
        <f t="shared" si="6"/>
        <v>0</v>
      </c>
    </row>
    <row r="29" spans="1:23" s="74" customFormat="1" ht="12">
      <c r="A29" s="109">
        <v>1</v>
      </c>
      <c r="B29" s="109">
        <v>0</v>
      </c>
      <c r="C29" s="109">
        <v>1</v>
      </c>
      <c r="D29" s="109">
        <v>5</v>
      </c>
      <c r="E29" s="109">
        <v>16</v>
      </c>
      <c r="F29" s="29" t="s">
        <v>62</v>
      </c>
      <c r="G29" s="110">
        <v>0</v>
      </c>
      <c r="H29" s="110"/>
      <c r="I29" s="111"/>
      <c r="J29" s="111"/>
      <c r="K29" s="111"/>
      <c r="L29" s="111"/>
      <c r="M29" s="111">
        <f t="shared" si="2"/>
        <v>0</v>
      </c>
      <c r="N29" s="111"/>
      <c r="O29" s="110">
        <v>0</v>
      </c>
      <c r="P29" s="110">
        <v>0</v>
      </c>
      <c r="Q29" s="110">
        <v>0</v>
      </c>
      <c r="R29" s="110">
        <v>0</v>
      </c>
      <c r="S29" s="115"/>
      <c r="T29" s="110">
        <f t="shared" si="3"/>
        <v>0</v>
      </c>
      <c r="U29" s="110">
        <f t="shared" si="4"/>
        <v>0</v>
      </c>
      <c r="V29" s="110">
        <f t="shared" si="5"/>
        <v>0</v>
      </c>
      <c r="W29" s="110">
        <f t="shared" si="6"/>
        <v>0</v>
      </c>
    </row>
    <row r="30" spans="1:23" s="74" customFormat="1" ht="12">
      <c r="A30" s="109">
        <v>1</v>
      </c>
      <c r="B30" s="109">
        <v>0</v>
      </c>
      <c r="C30" s="109">
        <v>1</v>
      </c>
      <c r="D30" s="109">
        <v>5</v>
      </c>
      <c r="E30" s="109">
        <v>47</v>
      </c>
      <c r="F30" s="29" t="s">
        <v>63</v>
      </c>
      <c r="G30" s="262">
        <v>6000000</v>
      </c>
      <c r="H30" s="110"/>
      <c r="I30" s="111"/>
      <c r="J30" s="111"/>
      <c r="K30" s="111"/>
      <c r="L30" s="111"/>
      <c r="M30" s="111">
        <f t="shared" si="2"/>
        <v>6000000</v>
      </c>
      <c r="N30" s="111"/>
      <c r="O30" s="111">
        <f>2035975+3899608+64417</f>
        <v>6000000</v>
      </c>
      <c r="P30" s="111">
        <f>2035975+3899608+64417</f>
        <v>6000000</v>
      </c>
      <c r="Q30" s="111">
        <f>2035975+3899608+64417</f>
        <v>6000000</v>
      </c>
      <c r="R30" s="111">
        <f>2035975+3899608+64417</f>
        <v>6000000</v>
      </c>
      <c r="S30" s="115"/>
      <c r="T30" s="110">
        <f t="shared" si="3"/>
        <v>0</v>
      </c>
      <c r="U30" s="110">
        <f t="shared" si="4"/>
        <v>0</v>
      </c>
      <c r="V30" s="110">
        <f t="shared" si="5"/>
        <v>0</v>
      </c>
      <c r="W30" s="110">
        <f t="shared" si="6"/>
        <v>0</v>
      </c>
    </row>
    <row r="31" spans="1:23" s="74" customFormat="1" ht="12">
      <c r="A31" s="109"/>
      <c r="B31" s="109"/>
      <c r="C31" s="109"/>
      <c r="D31" s="109"/>
      <c r="E31" s="109"/>
      <c r="F31" s="29"/>
      <c r="G31" s="262"/>
      <c r="H31" s="110"/>
      <c r="I31" s="111"/>
      <c r="J31" s="111"/>
      <c r="K31" s="111"/>
      <c r="L31" s="111"/>
      <c r="M31" s="262"/>
      <c r="N31" s="111"/>
      <c r="O31" s="111"/>
      <c r="P31" s="111"/>
      <c r="Q31" s="111"/>
      <c r="R31" s="111"/>
      <c r="S31" s="115"/>
      <c r="T31" s="111"/>
      <c r="U31" s="111"/>
      <c r="V31" s="111"/>
      <c r="W31" s="111"/>
    </row>
    <row r="32" spans="1:23" s="74" customFormat="1" ht="24">
      <c r="A32" s="51">
        <v>1</v>
      </c>
      <c r="B32" s="51">
        <v>0</v>
      </c>
      <c r="C32" s="51">
        <v>1</v>
      </c>
      <c r="D32" s="51">
        <v>8</v>
      </c>
      <c r="E32" s="51"/>
      <c r="F32" s="24" t="s">
        <v>26</v>
      </c>
      <c r="G32" s="121">
        <f>+G33</f>
        <v>0</v>
      </c>
      <c r="H32" s="108"/>
      <c r="I32" s="112"/>
      <c r="J32" s="112"/>
      <c r="K32" s="112"/>
      <c r="L32" s="112"/>
      <c r="M32" s="121">
        <f>+G32+I32-J32</f>
        <v>0</v>
      </c>
      <c r="N32" s="112"/>
      <c r="O32" s="112">
        <f>+O33</f>
        <v>0</v>
      </c>
      <c r="P32" s="112">
        <f>+P33</f>
        <v>0</v>
      </c>
      <c r="Q32" s="112">
        <f>+Q33</f>
        <v>0</v>
      </c>
      <c r="R32" s="112">
        <f>+R33</f>
        <v>0</v>
      </c>
      <c r="S32" s="115"/>
      <c r="T32" s="112">
        <f>+M32-O32</f>
        <v>0</v>
      </c>
      <c r="U32" s="112">
        <f aca="true" t="shared" si="7" ref="U32:W33">+O32-P32</f>
        <v>0</v>
      </c>
      <c r="V32" s="112">
        <f t="shared" si="7"/>
        <v>0</v>
      </c>
      <c r="W32" s="112">
        <f t="shared" si="7"/>
        <v>0</v>
      </c>
    </row>
    <row r="33" spans="1:23" s="74" customFormat="1" ht="12">
      <c r="A33" s="109">
        <v>1</v>
      </c>
      <c r="B33" s="109">
        <v>0</v>
      </c>
      <c r="C33" s="109">
        <v>1</v>
      </c>
      <c r="D33" s="109">
        <v>8</v>
      </c>
      <c r="E33" s="109">
        <v>1</v>
      </c>
      <c r="F33" s="29" t="s">
        <v>21</v>
      </c>
      <c r="G33" s="110">
        <v>0</v>
      </c>
      <c r="H33" s="110"/>
      <c r="I33" s="111"/>
      <c r="J33" s="111"/>
      <c r="K33" s="111"/>
      <c r="L33" s="111"/>
      <c r="M33" s="110">
        <f>+G33+I33-J33</f>
        <v>0</v>
      </c>
      <c r="N33" s="111"/>
      <c r="O33" s="110">
        <v>0</v>
      </c>
      <c r="P33" s="110">
        <v>0</v>
      </c>
      <c r="Q33" s="110">
        <v>0</v>
      </c>
      <c r="R33" s="110">
        <v>0</v>
      </c>
      <c r="S33" s="110"/>
      <c r="T33" s="110">
        <f>+M33-O33</f>
        <v>0</v>
      </c>
      <c r="U33" s="110">
        <f t="shared" si="7"/>
        <v>0</v>
      </c>
      <c r="V33" s="110">
        <f t="shared" si="7"/>
        <v>0</v>
      </c>
      <c r="W33" s="110">
        <f t="shared" si="7"/>
        <v>0</v>
      </c>
    </row>
    <row r="34" spans="1:23" s="74" customFormat="1" ht="12">
      <c r="A34" s="109"/>
      <c r="B34" s="109"/>
      <c r="C34" s="109"/>
      <c r="D34" s="109"/>
      <c r="E34" s="109"/>
      <c r="F34" s="29"/>
      <c r="G34" s="262"/>
      <c r="H34" s="110"/>
      <c r="I34" s="111"/>
      <c r="J34" s="111"/>
      <c r="K34" s="111"/>
      <c r="L34" s="111"/>
      <c r="M34" s="262"/>
      <c r="N34" s="111"/>
      <c r="O34" s="111"/>
      <c r="P34" s="111"/>
      <c r="Q34" s="111"/>
      <c r="R34" s="111"/>
      <c r="S34" s="115"/>
      <c r="T34" s="111"/>
      <c r="U34" s="111"/>
      <c r="V34" s="111"/>
      <c r="W34" s="111"/>
    </row>
    <row r="35" spans="1:23" s="74" customFormat="1" ht="24">
      <c r="A35" s="106">
        <v>1</v>
      </c>
      <c r="B35" s="106">
        <v>0</v>
      </c>
      <c r="C35" s="106">
        <v>1</v>
      </c>
      <c r="D35" s="106">
        <v>9</v>
      </c>
      <c r="E35" s="106"/>
      <c r="F35" s="24" t="s">
        <v>27</v>
      </c>
      <c r="G35" s="121">
        <f>+G36</f>
        <v>1210720</v>
      </c>
      <c r="H35" s="108"/>
      <c r="I35" s="112"/>
      <c r="J35" s="112"/>
      <c r="K35" s="112"/>
      <c r="L35" s="112"/>
      <c r="M35" s="121">
        <f>+M36+M37</f>
        <v>8631729</v>
      </c>
      <c r="N35" s="116"/>
      <c r="O35" s="112">
        <f>+O36+O37</f>
        <v>8631729</v>
      </c>
      <c r="P35" s="112">
        <f>+P36+P37</f>
        <v>8631729</v>
      </c>
      <c r="Q35" s="112">
        <f>+Q36+Q37</f>
        <v>8631729</v>
      </c>
      <c r="R35" s="112">
        <f>+R36+R37</f>
        <v>8631729</v>
      </c>
      <c r="S35" s="115"/>
      <c r="T35" s="112">
        <f>+M35-O35</f>
        <v>0</v>
      </c>
      <c r="U35" s="112">
        <f aca="true" t="shared" si="8" ref="U35:W37">+O35-P35</f>
        <v>0</v>
      </c>
      <c r="V35" s="112">
        <f t="shared" si="8"/>
        <v>0</v>
      </c>
      <c r="W35" s="112">
        <f t="shared" si="8"/>
        <v>0</v>
      </c>
    </row>
    <row r="36" spans="1:23" s="74" customFormat="1" ht="12">
      <c r="A36" s="109">
        <v>1</v>
      </c>
      <c r="B36" s="109">
        <v>0</v>
      </c>
      <c r="C36" s="109">
        <v>1</v>
      </c>
      <c r="D36" s="109">
        <v>9</v>
      </c>
      <c r="E36" s="109">
        <v>1</v>
      </c>
      <c r="F36" s="29" t="s">
        <v>64</v>
      </c>
      <c r="G36" s="262">
        <v>1210720</v>
      </c>
      <c r="H36" s="110"/>
      <c r="I36" s="111"/>
      <c r="J36" s="111"/>
      <c r="K36" s="111"/>
      <c r="L36" s="111"/>
      <c r="M36" s="111">
        <f>+G36+J36+L36-K36-I36</f>
        <v>1210720</v>
      </c>
      <c r="N36" s="111"/>
      <c r="O36" s="111">
        <f>961831+248889</f>
        <v>1210720</v>
      </c>
      <c r="P36" s="111">
        <f>961831+248889</f>
        <v>1210720</v>
      </c>
      <c r="Q36" s="111">
        <f>961831+248889</f>
        <v>1210720</v>
      </c>
      <c r="R36" s="111">
        <f>961831+248889</f>
        <v>1210720</v>
      </c>
      <c r="S36" s="115"/>
      <c r="T36" s="191">
        <f>+M36-O36</f>
        <v>0</v>
      </c>
      <c r="U36" s="110">
        <f t="shared" si="8"/>
        <v>0</v>
      </c>
      <c r="V36" s="110">
        <f t="shared" si="8"/>
        <v>0</v>
      </c>
      <c r="W36" s="110">
        <f t="shared" si="8"/>
        <v>0</v>
      </c>
    </row>
    <row r="37" spans="1:23" s="74" customFormat="1" ht="12">
      <c r="A37" s="109">
        <v>1</v>
      </c>
      <c r="B37" s="109">
        <v>0</v>
      </c>
      <c r="C37" s="109">
        <v>1</v>
      </c>
      <c r="D37" s="109">
        <v>9</v>
      </c>
      <c r="E37" s="109">
        <v>3</v>
      </c>
      <c r="F37" s="29" t="s">
        <v>65</v>
      </c>
      <c r="G37" s="110">
        <v>0</v>
      </c>
      <c r="H37" s="110"/>
      <c r="I37" s="111"/>
      <c r="J37" s="111">
        <v>7421009</v>
      </c>
      <c r="K37" s="111"/>
      <c r="L37" s="111"/>
      <c r="M37" s="111">
        <f>+G37+J37+L37-K37-I37</f>
        <v>7421009</v>
      </c>
      <c r="N37" s="111"/>
      <c r="O37" s="110">
        <v>7421009</v>
      </c>
      <c r="P37" s="110">
        <v>7421009</v>
      </c>
      <c r="Q37" s="110">
        <v>7421009</v>
      </c>
      <c r="R37" s="110">
        <v>7421009</v>
      </c>
      <c r="S37" s="115"/>
      <c r="T37" s="110">
        <f>+M37-O37</f>
        <v>0</v>
      </c>
      <c r="U37" s="110">
        <f t="shared" si="8"/>
        <v>0</v>
      </c>
      <c r="V37" s="110">
        <f t="shared" si="8"/>
        <v>0</v>
      </c>
      <c r="W37" s="110">
        <f t="shared" si="8"/>
        <v>0</v>
      </c>
    </row>
    <row r="38" spans="1:23" s="74" customFormat="1" ht="12">
      <c r="A38" s="109"/>
      <c r="B38" s="109"/>
      <c r="C38" s="109"/>
      <c r="D38" s="109"/>
      <c r="E38" s="109"/>
      <c r="F38" s="29"/>
      <c r="G38" s="262"/>
      <c r="H38" s="110"/>
      <c r="I38" s="111"/>
      <c r="J38" s="111"/>
      <c r="K38" s="111"/>
      <c r="L38" s="111"/>
      <c r="M38" s="262"/>
      <c r="N38" s="111"/>
      <c r="O38" s="111"/>
      <c r="P38" s="111"/>
      <c r="Q38" s="111"/>
      <c r="R38" s="111"/>
      <c r="S38" s="115"/>
      <c r="T38" s="111"/>
      <c r="U38" s="111"/>
      <c r="V38" s="111"/>
      <c r="W38" s="111"/>
    </row>
    <row r="39" spans="1:23" s="261" customFormat="1" ht="12">
      <c r="A39" s="106">
        <v>1</v>
      </c>
      <c r="B39" s="106">
        <v>0</v>
      </c>
      <c r="C39" s="106">
        <v>2</v>
      </c>
      <c r="D39" s="106"/>
      <c r="E39" s="106"/>
      <c r="F39" s="24" t="s">
        <v>28</v>
      </c>
      <c r="G39" s="121">
        <f>+G40</f>
        <v>300000000</v>
      </c>
      <c r="H39" s="108"/>
      <c r="I39" s="112"/>
      <c r="J39" s="112"/>
      <c r="K39" s="112"/>
      <c r="L39" s="112"/>
      <c r="M39" s="186">
        <f>+M40</f>
        <v>237597660</v>
      </c>
      <c r="N39" s="112"/>
      <c r="O39" s="112">
        <f>+O40</f>
        <v>188244220</v>
      </c>
      <c r="P39" s="112">
        <f>+P40</f>
        <v>188244220</v>
      </c>
      <c r="Q39" s="112">
        <f>+Q40</f>
        <v>188244220</v>
      </c>
      <c r="R39" s="112">
        <f>+R40</f>
        <v>185194220</v>
      </c>
      <c r="S39" s="117"/>
      <c r="T39" s="112">
        <f>+M39-O39</f>
        <v>49353440</v>
      </c>
      <c r="U39" s="112">
        <f aca="true" t="shared" si="9" ref="U39:W40">+O39-P39</f>
        <v>0</v>
      </c>
      <c r="V39" s="112">
        <f t="shared" si="9"/>
        <v>0</v>
      </c>
      <c r="W39" s="112">
        <f t="shared" si="9"/>
        <v>3050000</v>
      </c>
    </row>
    <row r="40" spans="1:23" s="74" customFormat="1" ht="12">
      <c r="A40" s="109">
        <v>1</v>
      </c>
      <c r="B40" s="109">
        <v>0</v>
      </c>
      <c r="C40" s="109">
        <v>2</v>
      </c>
      <c r="D40" s="109">
        <v>14</v>
      </c>
      <c r="E40" s="109"/>
      <c r="F40" s="29" t="s">
        <v>66</v>
      </c>
      <c r="G40" s="262">
        <v>300000000</v>
      </c>
      <c r="H40" s="110"/>
      <c r="I40" s="111">
        <v>62402340</v>
      </c>
      <c r="J40" s="111"/>
      <c r="K40" s="111"/>
      <c r="L40" s="111"/>
      <c r="M40" s="111">
        <f>+G40+J40+L40-K40-I40</f>
        <v>237597660</v>
      </c>
      <c r="N40" s="111"/>
      <c r="O40" s="110">
        <f>165000000+34000000-9281250+22500000-745364-23229166</f>
        <v>188244220</v>
      </c>
      <c r="P40" s="110">
        <f>165000000-11000000+45000000-9281250+18750000+1766916-21991446</f>
        <v>188244220</v>
      </c>
      <c r="Q40" s="110">
        <f>18187500+18906500+24062500+31250000+26250000+29875000+5531250+34181470</f>
        <v>188244220</v>
      </c>
      <c r="R40" s="110">
        <f>18187500+18906500+24062500+31250000+26250000+29875000+5531250+31131470</f>
        <v>185194220</v>
      </c>
      <c r="S40" s="115"/>
      <c r="T40" s="191">
        <f>+M40-O40</f>
        <v>49353440</v>
      </c>
      <c r="U40" s="110">
        <f t="shared" si="9"/>
        <v>0</v>
      </c>
      <c r="V40" s="110">
        <f t="shared" si="9"/>
        <v>0</v>
      </c>
      <c r="W40" s="110">
        <f t="shared" si="9"/>
        <v>3050000</v>
      </c>
    </row>
    <row r="41" spans="1:23" s="74" customFormat="1" ht="12">
      <c r="A41" s="109"/>
      <c r="B41" s="109"/>
      <c r="C41" s="109"/>
      <c r="D41" s="109"/>
      <c r="E41" s="109"/>
      <c r="F41" s="29"/>
      <c r="G41" s="262"/>
      <c r="H41" s="110"/>
      <c r="I41" s="111"/>
      <c r="J41" s="111"/>
      <c r="K41" s="111"/>
      <c r="L41" s="111"/>
      <c r="M41" s="262"/>
      <c r="N41" s="111"/>
      <c r="O41" s="111"/>
      <c r="P41" s="111"/>
      <c r="Q41" s="111"/>
      <c r="R41" s="111"/>
      <c r="S41" s="115"/>
      <c r="T41" s="111"/>
      <c r="U41" s="111"/>
      <c r="V41" s="111"/>
      <c r="W41" s="111"/>
    </row>
    <row r="42" spans="1:23" s="261" customFormat="1" ht="24">
      <c r="A42" s="106">
        <v>1</v>
      </c>
      <c r="B42" s="106">
        <v>0</v>
      </c>
      <c r="C42" s="106">
        <v>5</v>
      </c>
      <c r="D42" s="106"/>
      <c r="E42" s="106"/>
      <c r="F42" s="24" t="s">
        <v>29</v>
      </c>
      <c r="G42" s="121">
        <v>163577000</v>
      </c>
      <c r="H42" s="108"/>
      <c r="I42" s="112"/>
      <c r="J42" s="112"/>
      <c r="K42" s="112"/>
      <c r="L42" s="112"/>
      <c r="M42" s="121">
        <f>+G42+I42-J42</f>
        <v>163577000</v>
      </c>
      <c r="N42" s="112"/>
      <c r="O42" s="121">
        <f>SUM(O44:O47)</f>
        <v>218324999</v>
      </c>
      <c r="P42" s="121">
        <f>SUM(P44:P47)</f>
        <v>218324999</v>
      </c>
      <c r="Q42" s="121">
        <f>SUM(Q44:Q47)</f>
        <v>218324999</v>
      </c>
      <c r="R42" s="121">
        <f>SUM(R44:R47)</f>
        <v>218324999</v>
      </c>
      <c r="S42" s="117"/>
      <c r="T42" s="112">
        <f>+M42-O42</f>
        <v>-54747999</v>
      </c>
      <c r="U42" s="112">
        <f>+O42-P42</f>
        <v>0</v>
      </c>
      <c r="V42" s="112">
        <f>+P42-Q42</f>
        <v>0</v>
      </c>
      <c r="W42" s="112">
        <f>+Q42-R42</f>
        <v>0</v>
      </c>
    </row>
    <row r="43" spans="1:23" s="74" customFormat="1" ht="12">
      <c r="A43" s="106"/>
      <c r="B43" s="106"/>
      <c r="C43" s="106"/>
      <c r="D43" s="106"/>
      <c r="E43" s="106"/>
      <c r="F43" s="24"/>
      <c r="G43" s="121"/>
      <c r="H43" s="108"/>
      <c r="I43" s="111"/>
      <c r="J43" s="111"/>
      <c r="K43" s="111"/>
      <c r="L43" s="111"/>
      <c r="M43" s="121"/>
      <c r="N43" s="111"/>
      <c r="O43" s="111"/>
      <c r="P43" s="111"/>
      <c r="Q43" s="111"/>
      <c r="R43" s="111"/>
      <c r="S43" s="115"/>
      <c r="T43" s="111"/>
      <c r="U43" s="111"/>
      <c r="V43" s="111"/>
      <c r="W43" s="111"/>
    </row>
    <row r="44" spans="1:23" s="261" customFormat="1" ht="12">
      <c r="A44" s="187">
        <v>1</v>
      </c>
      <c r="B44" s="187">
        <v>0</v>
      </c>
      <c r="C44" s="187">
        <v>5</v>
      </c>
      <c r="D44" s="187">
        <v>1</v>
      </c>
      <c r="E44" s="187"/>
      <c r="F44" s="32" t="s">
        <v>30</v>
      </c>
      <c r="G44" s="189">
        <v>78125000</v>
      </c>
      <c r="H44" s="108"/>
      <c r="I44" s="112"/>
      <c r="J44" s="112"/>
      <c r="K44" s="112"/>
      <c r="L44" s="112"/>
      <c r="M44" s="111">
        <f>+G44+J44+L44-K44-I44</f>
        <v>78125000</v>
      </c>
      <c r="N44" s="112"/>
      <c r="O44" s="191">
        <f>35479798+40016029+2508323+120850</f>
        <v>78125000</v>
      </c>
      <c r="P44" s="191">
        <f>35479798+40016029+2508323+120850</f>
        <v>78125000</v>
      </c>
      <c r="Q44" s="191">
        <f>35479798+40016029+2508323+120850</f>
        <v>78125000</v>
      </c>
      <c r="R44" s="191">
        <f>35479798+40016029+2508323+120850</f>
        <v>78125000</v>
      </c>
      <c r="S44" s="117"/>
      <c r="T44" s="110">
        <f>+M44-O44</f>
        <v>0</v>
      </c>
      <c r="U44" s="110">
        <f aca="true" t="shared" si="10" ref="U44:W47">+O44-P44</f>
        <v>0</v>
      </c>
      <c r="V44" s="110">
        <f t="shared" si="10"/>
        <v>0</v>
      </c>
      <c r="W44" s="110">
        <f t="shared" si="10"/>
        <v>0</v>
      </c>
    </row>
    <row r="45" spans="1:23" s="261" customFormat="1" ht="12">
      <c r="A45" s="187">
        <v>1</v>
      </c>
      <c r="B45" s="187">
        <v>0</v>
      </c>
      <c r="C45" s="187">
        <v>5</v>
      </c>
      <c r="D45" s="187">
        <v>2</v>
      </c>
      <c r="E45" s="187"/>
      <c r="F45" s="32" t="s">
        <v>31</v>
      </c>
      <c r="G45" s="189">
        <v>65452000</v>
      </c>
      <c r="H45" s="108"/>
      <c r="I45" s="112"/>
      <c r="J45" s="191">
        <v>47981331</v>
      </c>
      <c r="K45" s="112"/>
      <c r="L45" s="112"/>
      <c r="M45" s="111">
        <f>+G45+J45+L45-K45-I45</f>
        <v>113433331</v>
      </c>
      <c r="N45" s="112"/>
      <c r="O45" s="191">
        <f>18535180+27271617+18113183+1532020+47901699</f>
        <v>113353699</v>
      </c>
      <c r="P45" s="263">
        <f>18535180+27271617+18113183+1532020+47901699</f>
        <v>113353699</v>
      </c>
      <c r="Q45" s="263">
        <f>18535180+27271617+18113183+1532020+47901699</f>
        <v>113353699</v>
      </c>
      <c r="R45" s="264">
        <f>26761017+27895358+1532020+9263605+47901699</f>
        <v>113353699</v>
      </c>
      <c r="S45" s="117"/>
      <c r="T45" s="110">
        <f>+M45-O45</f>
        <v>79632</v>
      </c>
      <c r="U45" s="110">
        <f t="shared" si="10"/>
        <v>0</v>
      </c>
      <c r="V45" s="110">
        <f t="shared" si="10"/>
        <v>0</v>
      </c>
      <c r="W45" s="110">
        <f t="shared" si="10"/>
        <v>0</v>
      </c>
    </row>
    <row r="46" spans="1:23" s="74" customFormat="1" ht="12">
      <c r="A46" s="187">
        <v>1</v>
      </c>
      <c r="B46" s="187">
        <v>0</v>
      </c>
      <c r="C46" s="187">
        <v>5</v>
      </c>
      <c r="D46" s="187">
        <v>6</v>
      </c>
      <c r="E46" s="300"/>
      <c r="F46" s="32" t="s">
        <v>67</v>
      </c>
      <c r="G46" s="262">
        <v>12000000</v>
      </c>
      <c r="H46" s="110"/>
      <c r="I46" s="113"/>
      <c r="J46" s="190">
        <v>7000000</v>
      </c>
      <c r="K46" s="113"/>
      <c r="L46" s="113"/>
      <c r="M46" s="111">
        <f>+G46+J46+L46-K46-I46</f>
        <v>19000000</v>
      </c>
      <c r="N46" s="113"/>
      <c r="O46" s="190">
        <f>3354300+5996200+2649500+6846300</f>
        <v>18846300</v>
      </c>
      <c r="P46" s="190">
        <f>3354300+5996200+2649500+6846300</f>
        <v>18846300</v>
      </c>
      <c r="Q46" s="190">
        <f>3354300+5996200+2649500+6846300</f>
        <v>18846300</v>
      </c>
      <c r="R46" s="190">
        <f>3354300+8645700+6846300</f>
        <v>18846300</v>
      </c>
      <c r="S46" s="115"/>
      <c r="T46" s="110">
        <f>+M46-O46</f>
        <v>153700</v>
      </c>
      <c r="U46" s="110">
        <f t="shared" si="10"/>
        <v>0</v>
      </c>
      <c r="V46" s="110">
        <f t="shared" si="10"/>
        <v>0</v>
      </c>
      <c r="W46" s="110">
        <f t="shared" si="10"/>
        <v>0</v>
      </c>
    </row>
    <row r="47" spans="1:23" s="74" customFormat="1" ht="12">
      <c r="A47" s="187">
        <v>1</v>
      </c>
      <c r="B47" s="187">
        <v>0</v>
      </c>
      <c r="C47" s="187">
        <v>5</v>
      </c>
      <c r="D47" s="187">
        <v>7</v>
      </c>
      <c r="E47" s="300"/>
      <c r="F47" s="32" t="s">
        <v>68</v>
      </c>
      <c r="G47" s="262">
        <v>8000000</v>
      </c>
      <c r="H47" s="110"/>
      <c r="I47" s="113"/>
      <c r="J47" s="113"/>
      <c r="K47" s="113"/>
      <c r="L47" s="113"/>
      <c r="M47" s="111">
        <f>+G47+J47+L47-K47-I47</f>
        <v>8000000</v>
      </c>
      <c r="N47" s="113"/>
      <c r="O47" s="190">
        <f>2237800+3997700+1764500</f>
        <v>8000000</v>
      </c>
      <c r="P47" s="190">
        <f>2237800+3997700+1764500</f>
        <v>8000000</v>
      </c>
      <c r="Q47" s="190">
        <f>2237800+3997700+1764500</f>
        <v>8000000</v>
      </c>
      <c r="R47" s="190">
        <f>2237800+5762200</f>
        <v>8000000</v>
      </c>
      <c r="S47" s="115"/>
      <c r="T47" s="110">
        <f>+M47-O47</f>
        <v>0</v>
      </c>
      <c r="U47" s="110">
        <f t="shared" si="10"/>
        <v>0</v>
      </c>
      <c r="V47" s="110">
        <f t="shared" si="10"/>
        <v>0</v>
      </c>
      <c r="W47" s="110">
        <f t="shared" si="10"/>
        <v>0</v>
      </c>
    </row>
    <row r="48" spans="1:23" s="74" customFormat="1" ht="12">
      <c r="A48" s="23"/>
      <c r="B48" s="23"/>
      <c r="C48" s="23"/>
      <c r="D48" s="23"/>
      <c r="E48" s="23"/>
      <c r="F48" s="23"/>
      <c r="G48" s="262"/>
      <c r="H48" s="110"/>
      <c r="I48" s="113"/>
      <c r="J48" s="113"/>
      <c r="K48" s="113"/>
      <c r="L48" s="113"/>
      <c r="M48" s="262"/>
      <c r="N48" s="113"/>
      <c r="O48" s="113"/>
      <c r="P48" s="113"/>
      <c r="Q48" s="113"/>
      <c r="R48" s="113"/>
      <c r="S48" s="115"/>
      <c r="T48" s="112"/>
      <c r="U48" s="112"/>
      <c r="V48" s="112"/>
      <c r="W48" s="112"/>
    </row>
    <row r="49" spans="1:23" s="261" customFormat="1" ht="12">
      <c r="A49" s="106">
        <v>2</v>
      </c>
      <c r="B49" s="106">
        <v>0</v>
      </c>
      <c r="C49" s="106"/>
      <c r="D49" s="106"/>
      <c r="E49" s="106"/>
      <c r="F49" s="24" t="s">
        <v>32</v>
      </c>
      <c r="G49" s="121">
        <f>+G51+G54</f>
        <v>429351700</v>
      </c>
      <c r="H49" s="108"/>
      <c r="I49" s="112"/>
      <c r="J49" s="112"/>
      <c r="K49" s="112"/>
      <c r="L49" s="112"/>
      <c r="M49" s="121">
        <f>+G49+I49-J49</f>
        <v>429351700</v>
      </c>
      <c r="N49" s="112"/>
      <c r="O49" s="112">
        <f>+O51+O54</f>
        <v>442834692</v>
      </c>
      <c r="P49" s="112">
        <f>+P51+P54</f>
        <v>442834692</v>
      </c>
      <c r="Q49" s="112">
        <f>+Q51+Q54</f>
        <v>428981517</v>
      </c>
      <c r="R49" s="112">
        <f>+R51+R54</f>
        <v>419715309</v>
      </c>
      <c r="S49" s="117"/>
      <c r="T49" s="112">
        <f>+M49-O49</f>
        <v>-13482992</v>
      </c>
      <c r="U49" s="112">
        <f>+O49-P49</f>
        <v>0</v>
      </c>
      <c r="V49" s="112">
        <f>+P49-Q49</f>
        <v>13853175</v>
      </c>
      <c r="W49" s="112">
        <f>+Q49-R49</f>
        <v>9266208</v>
      </c>
    </row>
    <row r="50" spans="1:23" s="74" customFormat="1" ht="12">
      <c r="A50" s="106"/>
      <c r="B50" s="106"/>
      <c r="C50" s="106"/>
      <c r="D50" s="106"/>
      <c r="E50" s="106"/>
      <c r="F50" s="24"/>
      <c r="G50" s="121"/>
      <c r="H50" s="108"/>
      <c r="I50" s="112"/>
      <c r="J50" s="112"/>
      <c r="K50" s="112"/>
      <c r="L50" s="112"/>
      <c r="M50" s="121"/>
      <c r="N50" s="112"/>
      <c r="O50" s="112"/>
      <c r="P50" s="112"/>
      <c r="Q50" s="112"/>
      <c r="R50" s="112"/>
      <c r="S50" s="115"/>
      <c r="T50" s="112"/>
      <c r="U50" s="112"/>
      <c r="V50" s="112"/>
      <c r="W50" s="112"/>
    </row>
    <row r="51" spans="1:23" s="261" customFormat="1" ht="12">
      <c r="A51" s="106">
        <v>2</v>
      </c>
      <c r="B51" s="106">
        <v>0</v>
      </c>
      <c r="C51" s="106">
        <v>3</v>
      </c>
      <c r="D51" s="106"/>
      <c r="E51" s="106"/>
      <c r="F51" s="24" t="s">
        <v>33</v>
      </c>
      <c r="G51" s="121">
        <f>+G52</f>
        <v>0</v>
      </c>
      <c r="H51" s="108"/>
      <c r="I51" s="112"/>
      <c r="J51" s="112"/>
      <c r="K51" s="112"/>
      <c r="L51" s="112"/>
      <c r="M51" s="121">
        <f>+G51+I51-J51</f>
        <v>0</v>
      </c>
      <c r="N51" s="112"/>
      <c r="O51" s="112">
        <f>+O52</f>
        <v>0</v>
      </c>
      <c r="P51" s="112">
        <f>+P52</f>
        <v>0</v>
      </c>
      <c r="Q51" s="112">
        <f>+Q52</f>
        <v>0</v>
      </c>
      <c r="R51" s="112">
        <f>+R52</f>
        <v>0</v>
      </c>
      <c r="S51" s="117"/>
      <c r="T51" s="112">
        <f>+M51-O51</f>
        <v>0</v>
      </c>
      <c r="U51" s="112">
        <f aca="true" t="shared" si="11" ref="U51:W52">+O51-P51</f>
        <v>0</v>
      </c>
      <c r="V51" s="112">
        <f t="shared" si="11"/>
        <v>0</v>
      </c>
      <c r="W51" s="112">
        <f t="shared" si="11"/>
        <v>0</v>
      </c>
    </row>
    <row r="52" spans="1:23" s="74" customFormat="1" ht="12">
      <c r="A52" s="109">
        <v>2</v>
      </c>
      <c r="B52" s="109">
        <v>0</v>
      </c>
      <c r="C52" s="109">
        <v>3</v>
      </c>
      <c r="D52" s="109">
        <v>50</v>
      </c>
      <c r="E52" s="109"/>
      <c r="F52" s="29" t="s">
        <v>69</v>
      </c>
      <c r="G52" s="110">
        <v>0</v>
      </c>
      <c r="H52" s="110"/>
      <c r="I52" s="111"/>
      <c r="J52" s="111"/>
      <c r="K52" s="111"/>
      <c r="L52" s="111"/>
      <c r="M52" s="111">
        <f>+G52+J52+L52-K52-I52</f>
        <v>0</v>
      </c>
      <c r="N52" s="111"/>
      <c r="O52" s="110">
        <v>0</v>
      </c>
      <c r="P52" s="110">
        <v>0</v>
      </c>
      <c r="Q52" s="110">
        <v>0</v>
      </c>
      <c r="R52" s="110">
        <v>0</v>
      </c>
      <c r="S52" s="110"/>
      <c r="T52" s="110">
        <f>+M52-O52</f>
        <v>0</v>
      </c>
      <c r="U52" s="110">
        <f t="shared" si="11"/>
        <v>0</v>
      </c>
      <c r="V52" s="110">
        <f t="shared" si="11"/>
        <v>0</v>
      </c>
      <c r="W52" s="110">
        <f t="shared" si="11"/>
        <v>0</v>
      </c>
    </row>
    <row r="53" spans="1:23" s="74" customFormat="1" ht="12.75" thickBot="1">
      <c r="A53" s="266"/>
      <c r="B53" s="266"/>
      <c r="C53" s="266"/>
      <c r="D53" s="266"/>
      <c r="E53" s="266"/>
      <c r="F53" s="307"/>
      <c r="G53" s="308"/>
      <c r="H53" s="309"/>
      <c r="I53" s="310"/>
      <c r="J53" s="310"/>
      <c r="K53" s="310"/>
      <c r="L53" s="310"/>
      <c r="M53" s="308"/>
      <c r="N53" s="310"/>
      <c r="O53" s="310"/>
      <c r="P53" s="310"/>
      <c r="Q53" s="310"/>
      <c r="R53" s="310"/>
      <c r="S53" s="284"/>
      <c r="T53" s="310"/>
      <c r="U53" s="310"/>
      <c r="V53" s="310"/>
      <c r="W53" s="310"/>
    </row>
    <row r="54" spans="1:23" s="261" customFormat="1" ht="12">
      <c r="A54" s="106">
        <v>2</v>
      </c>
      <c r="B54" s="106">
        <v>0</v>
      </c>
      <c r="C54" s="106">
        <v>4</v>
      </c>
      <c r="D54" s="106"/>
      <c r="E54" s="106"/>
      <c r="F54" s="24" t="s">
        <v>34</v>
      </c>
      <c r="G54" s="121">
        <f>SUM(G56:G70)</f>
        <v>429351700</v>
      </c>
      <c r="H54" s="108"/>
      <c r="I54" s="112"/>
      <c r="J54" s="112"/>
      <c r="K54" s="112"/>
      <c r="L54" s="112"/>
      <c r="M54" s="121">
        <f>+G54+I54-J54</f>
        <v>429351700</v>
      </c>
      <c r="N54" s="112"/>
      <c r="O54" s="250">
        <f>SUM(O56:O70)</f>
        <v>442834692</v>
      </c>
      <c r="P54" s="250">
        <f>SUM(P56:P70)</f>
        <v>442834692</v>
      </c>
      <c r="Q54" s="250">
        <f>SUM(Q56:Q70)</f>
        <v>428981517</v>
      </c>
      <c r="R54" s="250">
        <f>SUM(R56:R70)</f>
        <v>419715309</v>
      </c>
      <c r="S54" s="117"/>
      <c r="T54" s="112">
        <f>+M54-O54</f>
        <v>-13482992</v>
      </c>
      <c r="U54" s="112">
        <f>+O54-P54</f>
        <v>0</v>
      </c>
      <c r="V54" s="112">
        <f>+P54-Q54</f>
        <v>13853175</v>
      </c>
      <c r="W54" s="112">
        <f>+Q54-R54</f>
        <v>9266208</v>
      </c>
    </row>
    <row r="55" spans="1:23" s="261" customFormat="1" ht="12">
      <c r="A55" s="106"/>
      <c r="B55" s="106"/>
      <c r="C55" s="106"/>
      <c r="D55" s="106"/>
      <c r="E55" s="106"/>
      <c r="F55" s="24"/>
      <c r="G55" s="121"/>
      <c r="H55" s="108"/>
      <c r="I55" s="112"/>
      <c r="J55" s="112"/>
      <c r="K55" s="112"/>
      <c r="L55" s="112"/>
      <c r="M55" s="121"/>
      <c r="N55" s="112"/>
      <c r="O55" s="112"/>
      <c r="P55" s="112"/>
      <c r="Q55" s="112"/>
      <c r="R55" s="112"/>
      <c r="S55" s="117"/>
      <c r="T55" s="112"/>
      <c r="U55" s="112"/>
      <c r="V55" s="112"/>
      <c r="W55" s="112"/>
    </row>
    <row r="56" spans="1:23" s="74" customFormat="1" ht="15" customHeight="1">
      <c r="A56" s="109">
        <v>2</v>
      </c>
      <c r="B56" s="109">
        <v>0</v>
      </c>
      <c r="C56" s="109">
        <v>4</v>
      </c>
      <c r="D56" s="109">
        <v>1</v>
      </c>
      <c r="E56" s="109"/>
      <c r="F56" s="32" t="s">
        <v>35</v>
      </c>
      <c r="G56" s="189">
        <v>68000000</v>
      </c>
      <c r="H56" s="161"/>
      <c r="I56" s="112"/>
      <c r="J56" s="191">
        <v>355000</v>
      </c>
      <c r="K56" s="112"/>
      <c r="L56" s="112"/>
      <c r="M56" s="111">
        <f aca="true" t="shared" si="12" ref="M56:M63">+G56+J56+L56-K56-I56</f>
        <v>68355000</v>
      </c>
      <c r="N56" s="112"/>
      <c r="O56" s="191">
        <f>55412701+11832000+786132</f>
        <v>68030833</v>
      </c>
      <c r="P56" s="110">
        <f>67244701+786132</f>
        <v>68030833</v>
      </c>
      <c r="Q56" s="110">
        <f>11832000+13853175+27706351+786132</f>
        <v>54177658</v>
      </c>
      <c r="R56" s="110">
        <f>11832000+13853175+13853175+13853175+786132</f>
        <v>54177657</v>
      </c>
      <c r="S56" s="115"/>
      <c r="T56" s="191">
        <f aca="true" t="shared" si="13" ref="T56:T70">+M56-O56</f>
        <v>324167</v>
      </c>
      <c r="U56" s="110">
        <f aca="true" t="shared" si="14" ref="U56:U70">+O56-P56</f>
        <v>0</v>
      </c>
      <c r="V56" s="110">
        <f aca="true" t="shared" si="15" ref="V56:V70">+P56-Q56</f>
        <v>13853175</v>
      </c>
      <c r="W56" s="110">
        <f aca="true" t="shared" si="16" ref="W56:W70">+Q56-R56</f>
        <v>1</v>
      </c>
    </row>
    <row r="57" spans="1:23" s="261" customFormat="1" ht="15" customHeight="1">
      <c r="A57" s="187">
        <v>2</v>
      </c>
      <c r="B57" s="187">
        <v>0</v>
      </c>
      <c r="C57" s="187">
        <v>4</v>
      </c>
      <c r="D57" s="187">
        <v>2</v>
      </c>
      <c r="E57" s="106"/>
      <c r="F57" s="32" t="s">
        <v>36</v>
      </c>
      <c r="G57" s="189">
        <v>1000000</v>
      </c>
      <c r="H57" s="161"/>
      <c r="I57" s="191">
        <v>355000</v>
      </c>
      <c r="J57" s="112"/>
      <c r="K57" s="112"/>
      <c r="L57" s="112"/>
      <c r="M57" s="111">
        <f t="shared" si="12"/>
        <v>645000</v>
      </c>
      <c r="N57" s="112"/>
      <c r="O57" s="191">
        <v>645000</v>
      </c>
      <c r="P57" s="191">
        <v>645000</v>
      </c>
      <c r="Q57" s="191">
        <v>645000</v>
      </c>
      <c r="R57" s="110">
        <f>380000+265000</f>
        <v>645000</v>
      </c>
      <c r="S57" s="117"/>
      <c r="T57" s="191">
        <f t="shared" si="13"/>
        <v>0</v>
      </c>
      <c r="U57" s="110">
        <f t="shared" si="14"/>
        <v>0</v>
      </c>
      <c r="V57" s="110">
        <f t="shared" si="15"/>
        <v>0</v>
      </c>
      <c r="W57" s="110">
        <f t="shared" si="16"/>
        <v>0</v>
      </c>
    </row>
    <row r="58" spans="1:23" s="261" customFormat="1" ht="15" customHeight="1">
      <c r="A58" s="187">
        <v>2</v>
      </c>
      <c r="B58" s="187">
        <v>0</v>
      </c>
      <c r="C58" s="187">
        <v>4</v>
      </c>
      <c r="D58" s="187">
        <v>4</v>
      </c>
      <c r="E58" s="106"/>
      <c r="F58" s="32" t="s">
        <v>37</v>
      </c>
      <c r="G58" s="189">
        <v>29901700</v>
      </c>
      <c r="H58" s="161"/>
      <c r="I58" s="112"/>
      <c r="J58" s="112"/>
      <c r="K58" s="112"/>
      <c r="L58" s="112"/>
      <c r="M58" s="111">
        <f t="shared" si="12"/>
        <v>29901700</v>
      </c>
      <c r="N58" s="112"/>
      <c r="O58" s="191">
        <f>13698547+3000000+4243000+5570946+3389207-8330</f>
        <v>29893370</v>
      </c>
      <c r="P58" s="110">
        <f>16698547+4243000+5570946+3389207-8330</f>
        <v>29893370</v>
      </c>
      <c r="Q58" s="110">
        <f>2659951+1593120+10094331+9093946+2256179+417507+3778336</f>
        <v>29893370</v>
      </c>
      <c r="R58" s="110">
        <f>2659951+1593120+11094331+8093946+2256179+417507+3778336</f>
        <v>29893370</v>
      </c>
      <c r="S58" s="117"/>
      <c r="T58" s="191">
        <f t="shared" si="13"/>
        <v>8330</v>
      </c>
      <c r="U58" s="110">
        <f t="shared" si="14"/>
        <v>0</v>
      </c>
      <c r="V58" s="110">
        <f t="shared" si="15"/>
        <v>0</v>
      </c>
      <c r="W58" s="110">
        <f t="shared" si="16"/>
        <v>0</v>
      </c>
    </row>
    <row r="59" spans="1:23" s="261" customFormat="1" ht="15" customHeight="1">
      <c r="A59" s="187">
        <v>2</v>
      </c>
      <c r="B59" s="187">
        <v>0</v>
      </c>
      <c r="C59" s="187">
        <v>4</v>
      </c>
      <c r="D59" s="187">
        <v>5</v>
      </c>
      <c r="E59" s="106"/>
      <c r="F59" s="32" t="s">
        <v>38</v>
      </c>
      <c r="G59" s="110">
        <v>0</v>
      </c>
      <c r="H59" s="161"/>
      <c r="I59" s="112"/>
      <c r="J59" s="112"/>
      <c r="K59" s="112"/>
      <c r="L59" s="112"/>
      <c r="M59" s="111">
        <f t="shared" si="12"/>
        <v>0</v>
      </c>
      <c r="N59" s="112"/>
      <c r="O59" s="110">
        <v>0</v>
      </c>
      <c r="P59" s="110">
        <v>0</v>
      </c>
      <c r="Q59" s="110">
        <v>0</v>
      </c>
      <c r="R59" s="110">
        <v>0</v>
      </c>
      <c r="S59" s="117"/>
      <c r="T59" s="110">
        <f t="shared" si="13"/>
        <v>0</v>
      </c>
      <c r="U59" s="110">
        <f t="shared" si="14"/>
        <v>0</v>
      </c>
      <c r="V59" s="110">
        <f t="shared" si="15"/>
        <v>0</v>
      </c>
      <c r="W59" s="110">
        <f t="shared" si="16"/>
        <v>0</v>
      </c>
    </row>
    <row r="60" spans="1:23" s="261" customFormat="1" ht="15" customHeight="1">
      <c r="A60" s="187">
        <v>2</v>
      </c>
      <c r="B60" s="187">
        <v>0</v>
      </c>
      <c r="C60" s="187">
        <v>4</v>
      </c>
      <c r="D60" s="187">
        <v>6</v>
      </c>
      <c r="E60" s="106"/>
      <c r="F60" s="32" t="s">
        <v>39</v>
      </c>
      <c r="G60" s="110">
        <v>0</v>
      </c>
      <c r="H60" s="161"/>
      <c r="I60" s="112"/>
      <c r="J60" s="112"/>
      <c r="K60" s="112"/>
      <c r="L60" s="112"/>
      <c r="M60" s="111">
        <f t="shared" si="12"/>
        <v>0</v>
      </c>
      <c r="N60" s="112"/>
      <c r="O60" s="110">
        <v>0</v>
      </c>
      <c r="P60" s="110">
        <v>0</v>
      </c>
      <c r="Q60" s="110">
        <v>0</v>
      </c>
      <c r="R60" s="110">
        <v>0</v>
      </c>
      <c r="S60" s="117"/>
      <c r="T60" s="110">
        <f t="shared" si="13"/>
        <v>0</v>
      </c>
      <c r="U60" s="110">
        <f t="shared" si="14"/>
        <v>0</v>
      </c>
      <c r="V60" s="110">
        <f t="shared" si="15"/>
        <v>0</v>
      </c>
      <c r="W60" s="110">
        <f t="shared" si="16"/>
        <v>0</v>
      </c>
    </row>
    <row r="61" spans="1:23" s="261" customFormat="1" ht="15" customHeight="1">
      <c r="A61" s="187">
        <v>2</v>
      </c>
      <c r="B61" s="187">
        <v>0</v>
      </c>
      <c r="C61" s="187">
        <v>4</v>
      </c>
      <c r="D61" s="187">
        <v>7</v>
      </c>
      <c r="E61" s="106"/>
      <c r="F61" s="32" t="s">
        <v>40</v>
      </c>
      <c r="G61" s="189">
        <v>19900000</v>
      </c>
      <c r="H61" s="161"/>
      <c r="I61" s="112"/>
      <c r="J61" s="112"/>
      <c r="K61" s="112"/>
      <c r="L61" s="112"/>
      <c r="M61" s="111">
        <f t="shared" si="12"/>
        <v>19900000</v>
      </c>
      <c r="N61" s="112"/>
      <c r="O61" s="110">
        <f>6000000+1565000+480000+1508000+254700+385000+838240+875688-1759312</f>
        <v>10147316</v>
      </c>
      <c r="P61" s="110">
        <f>6000000+1565000+480000+1508000+639700+838240+875688-1759312</f>
        <v>10147316</v>
      </c>
      <c r="Q61" s="191">
        <f>1237800+1792000+1508000+1188700+612000+1292240+1102688+227000+1186888</f>
        <v>10147316</v>
      </c>
      <c r="R61" s="110">
        <f>1237800+1792000+1508000+1188700+1450240+454000+1102688+1413888</f>
        <v>10147316</v>
      </c>
      <c r="S61" s="117"/>
      <c r="T61" s="191">
        <f t="shared" si="13"/>
        <v>9752684</v>
      </c>
      <c r="U61" s="110">
        <f t="shared" si="14"/>
        <v>0</v>
      </c>
      <c r="V61" s="191">
        <f t="shared" si="15"/>
        <v>0</v>
      </c>
      <c r="W61" s="191">
        <f t="shared" si="16"/>
        <v>0</v>
      </c>
    </row>
    <row r="62" spans="1:23" s="261" customFormat="1" ht="15" customHeight="1">
      <c r="A62" s="187">
        <v>2</v>
      </c>
      <c r="B62" s="187">
        <v>0</v>
      </c>
      <c r="C62" s="187">
        <v>4</v>
      </c>
      <c r="D62" s="187">
        <v>8</v>
      </c>
      <c r="E62" s="106"/>
      <c r="F62" s="32" t="s">
        <v>41</v>
      </c>
      <c r="G62" s="189">
        <v>270000000</v>
      </c>
      <c r="H62" s="161"/>
      <c r="I62" s="112"/>
      <c r="J62" s="191">
        <v>33000000</v>
      </c>
      <c r="K62" s="112"/>
      <c r="L62" s="112"/>
      <c r="M62" s="111">
        <f t="shared" si="12"/>
        <v>303000000</v>
      </c>
      <c r="N62" s="112"/>
      <c r="O62" s="191">
        <f>15417754+15046963+27905826+28155966+22532738+24892149+26652158+31750711+29482907+27010273+26624697+27048460</f>
        <v>302520602</v>
      </c>
      <c r="P62" s="191">
        <f>15417754+15046963+27905826+28155966+22532738+24892149+26652158+31750711+29482907+27010273+26624697+27048460</f>
        <v>302520602</v>
      </c>
      <c r="Q62" s="191">
        <f>15417754+15046963+27905826+28155966+22532738+24892149+26652158+31750711+29482907+27010273+26624697+27048460</f>
        <v>302520602</v>
      </c>
      <c r="R62" s="191">
        <f>15417754+12321973+30630816+24752986+25935718+24892149+26652158+31750711+29482907+27010273+12519672+31887278</f>
        <v>293254395</v>
      </c>
      <c r="S62" s="117"/>
      <c r="T62" s="191">
        <f t="shared" si="13"/>
        <v>479398</v>
      </c>
      <c r="U62" s="110">
        <f t="shared" si="14"/>
        <v>0</v>
      </c>
      <c r="V62" s="110">
        <f t="shared" si="15"/>
        <v>0</v>
      </c>
      <c r="W62" s="110">
        <f t="shared" si="16"/>
        <v>9266207</v>
      </c>
    </row>
    <row r="63" spans="1:23" s="261" customFormat="1" ht="15" customHeight="1">
      <c r="A63" s="187">
        <v>2</v>
      </c>
      <c r="B63" s="187">
        <v>0</v>
      </c>
      <c r="C63" s="187">
        <v>4</v>
      </c>
      <c r="D63" s="187">
        <v>9</v>
      </c>
      <c r="E63" s="106"/>
      <c r="F63" s="32" t="s">
        <v>42</v>
      </c>
      <c r="G63" s="189">
        <v>40550000</v>
      </c>
      <c r="H63" s="161"/>
      <c r="I63" s="112"/>
      <c r="J63" s="112"/>
      <c r="K63" s="112"/>
      <c r="L63" s="112"/>
      <c r="M63" s="111">
        <f t="shared" si="12"/>
        <v>40550000</v>
      </c>
      <c r="N63" s="112"/>
      <c r="O63" s="189">
        <f>3913147+166457+1295834+184815+1072117+24965201</f>
        <v>31597571</v>
      </c>
      <c r="P63" s="191">
        <f>3913147+166457+1069334+411315+1072117+24965201</f>
        <v>31597571</v>
      </c>
      <c r="Q63" s="191">
        <f>166457+3913147+1069334+226500+1072117+184815+24965201</f>
        <v>31597571</v>
      </c>
      <c r="R63" s="191">
        <f>166457+3913147+1069334+226500+1072117+184815+24965201</f>
        <v>31597571</v>
      </c>
      <c r="S63" s="117"/>
      <c r="T63" s="191">
        <f t="shared" si="13"/>
        <v>8952429</v>
      </c>
      <c r="U63" s="110">
        <f t="shared" si="14"/>
        <v>0</v>
      </c>
      <c r="V63" s="110">
        <f t="shared" si="15"/>
        <v>0</v>
      </c>
      <c r="W63" s="110">
        <f t="shared" si="16"/>
        <v>0</v>
      </c>
    </row>
    <row r="64" spans="1:23" s="75" customFormat="1" ht="15" customHeight="1">
      <c r="A64" s="187">
        <v>2</v>
      </c>
      <c r="B64" s="187">
        <v>0</v>
      </c>
      <c r="C64" s="187">
        <v>4</v>
      </c>
      <c r="D64" s="187">
        <v>10</v>
      </c>
      <c r="E64" s="51"/>
      <c r="F64" s="32" t="s">
        <v>43</v>
      </c>
      <c r="G64" s="110">
        <v>0</v>
      </c>
      <c r="H64" s="161"/>
      <c r="I64" s="55"/>
      <c r="J64" s="55"/>
      <c r="K64" s="55"/>
      <c r="L64" s="55"/>
      <c r="M64" s="110">
        <f aca="true" t="shared" si="17" ref="M64:M70">+G64+I64-J64</f>
        <v>0</v>
      </c>
      <c r="N64" s="55"/>
      <c r="O64" s="110">
        <v>0</v>
      </c>
      <c r="P64" s="110">
        <v>0</v>
      </c>
      <c r="Q64" s="110">
        <v>0</v>
      </c>
      <c r="R64" s="110">
        <v>0</v>
      </c>
      <c r="S64" s="56"/>
      <c r="T64" s="110">
        <f t="shared" si="13"/>
        <v>0</v>
      </c>
      <c r="U64" s="110">
        <f t="shared" si="14"/>
        <v>0</v>
      </c>
      <c r="V64" s="110">
        <f t="shared" si="15"/>
        <v>0</v>
      </c>
      <c r="W64" s="110">
        <f t="shared" si="16"/>
        <v>0</v>
      </c>
    </row>
    <row r="65" spans="1:23" s="261" customFormat="1" ht="15" customHeight="1">
      <c r="A65" s="187">
        <v>2</v>
      </c>
      <c r="B65" s="187">
        <v>0</v>
      </c>
      <c r="C65" s="187">
        <v>4</v>
      </c>
      <c r="D65" s="187">
        <v>11</v>
      </c>
      <c r="E65" s="106"/>
      <c r="F65" s="32" t="s">
        <v>44</v>
      </c>
      <c r="G65" s="110">
        <v>0</v>
      </c>
      <c r="H65" s="161"/>
      <c r="I65" s="112"/>
      <c r="J65" s="112"/>
      <c r="K65" s="112"/>
      <c r="L65" s="112"/>
      <c r="M65" s="110">
        <f t="shared" si="17"/>
        <v>0</v>
      </c>
      <c r="N65" s="112"/>
      <c r="O65" s="110">
        <v>0</v>
      </c>
      <c r="P65" s="110">
        <v>0</v>
      </c>
      <c r="Q65" s="110">
        <v>0</v>
      </c>
      <c r="R65" s="110">
        <v>0</v>
      </c>
      <c r="S65" s="110"/>
      <c r="T65" s="110">
        <f t="shared" si="13"/>
        <v>0</v>
      </c>
      <c r="U65" s="110">
        <f t="shared" si="14"/>
        <v>0</v>
      </c>
      <c r="V65" s="110">
        <f t="shared" si="15"/>
        <v>0</v>
      </c>
      <c r="W65" s="110">
        <f t="shared" si="16"/>
        <v>0</v>
      </c>
    </row>
    <row r="66" spans="1:23" s="74" customFormat="1" ht="15" customHeight="1">
      <c r="A66" s="187">
        <v>2</v>
      </c>
      <c r="B66" s="187">
        <v>0</v>
      </c>
      <c r="C66" s="187">
        <v>4</v>
      </c>
      <c r="D66" s="187">
        <v>13</v>
      </c>
      <c r="E66" s="109"/>
      <c r="F66" s="32" t="s">
        <v>45</v>
      </c>
      <c r="G66" s="110">
        <v>0</v>
      </c>
      <c r="H66" s="161"/>
      <c r="I66" s="112"/>
      <c r="J66" s="112"/>
      <c r="K66" s="112"/>
      <c r="L66" s="112"/>
      <c r="M66" s="110">
        <f t="shared" si="17"/>
        <v>0</v>
      </c>
      <c r="N66" s="112"/>
      <c r="O66" s="110">
        <v>0</v>
      </c>
      <c r="P66" s="110">
        <v>0</v>
      </c>
      <c r="Q66" s="110">
        <v>0</v>
      </c>
      <c r="R66" s="110">
        <v>0</v>
      </c>
      <c r="S66" s="110"/>
      <c r="T66" s="110">
        <f t="shared" si="13"/>
        <v>0</v>
      </c>
      <c r="U66" s="110">
        <f t="shared" si="14"/>
        <v>0</v>
      </c>
      <c r="V66" s="110">
        <f t="shared" si="15"/>
        <v>0</v>
      </c>
      <c r="W66" s="110">
        <f t="shared" si="16"/>
        <v>0</v>
      </c>
    </row>
    <row r="67" spans="1:23" s="74" customFormat="1" ht="15" customHeight="1">
      <c r="A67" s="187">
        <v>2</v>
      </c>
      <c r="B67" s="187">
        <v>0</v>
      </c>
      <c r="C67" s="187">
        <v>4</v>
      </c>
      <c r="D67" s="187">
        <v>17</v>
      </c>
      <c r="E67" s="109"/>
      <c r="F67" s="32" t="s">
        <v>46</v>
      </c>
      <c r="G67" s="110">
        <v>0</v>
      </c>
      <c r="H67" s="161"/>
      <c r="I67" s="112"/>
      <c r="J67" s="112"/>
      <c r="K67" s="112"/>
      <c r="L67" s="112"/>
      <c r="M67" s="110">
        <f t="shared" si="17"/>
        <v>0</v>
      </c>
      <c r="N67" s="112"/>
      <c r="O67" s="110">
        <v>0</v>
      </c>
      <c r="P67" s="110">
        <v>0</v>
      </c>
      <c r="Q67" s="110">
        <v>0</v>
      </c>
      <c r="R67" s="110">
        <v>0</v>
      </c>
      <c r="S67" s="115"/>
      <c r="T67" s="110">
        <f t="shared" si="13"/>
        <v>0</v>
      </c>
      <c r="U67" s="110">
        <f t="shared" si="14"/>
        <v>0</v>
      </c>
      <c r="V67" s="110">
        <f t="shared" si="15"/>
        <v>0</v>
      </c>
      <c r="W67" s="110">
        <f t="shared" si="16"/>
        <v>0</v>
      </c>
    </row>
    <row r="68" spans="1:23" s="261" customFormat="1" ht="15" customHeight="1">
      <c r="A68" s="187">
        <v>2</v>
      </c>
      <c r="B68" s="187">
        <v>0</v>
      </c>
      <c r="C68" s="187">
        <v>4</v>
      </c>
      <c r="D68" s="187">
        <v>21</v>
      </c>
      <c r="E68" s="106"/>
      <c r="F68" s="192" t="s">
        <v>70</v>
      </c>
      <c r="G68" s="110">
        <v>0</v>
      </c>
      <c r="H68" s="161"/>
      <c r="I68" s="112"/>
      <c r="J68" s="112"/>
      <c r="K68" s="112"/>
      <c r="L68" s="112"/>
      <c r="M68" s="110">
        <f t="shared" si="17"/>
        <v>0</v>
      </c>
      <c r="N68" s="112"/>
      <c r="O68" s="110">
        <v>0</v>
      </c>
      <c r="P68" s="110">
        <v>0</v>
      </c>
      <c r="Q68" s="110">
        <v>0</v>
      </c>
      <c r="R68" s="110">
        <v>0</v>
      </c>
      <c r="S68" s="117"/>
      <c r="T68" s="110">
        <f t="shared" si="13"/>
        <v>0</v>
      </c>
      <c r="U68" s="110">
        <f t="shared" si="14"/>
        <v>0</v>
      </c>
      <c r="V68" s="110">
        <f t="shared" si="15"/>
        <v>0</v>
      </c>
      <c r="W68" s="110">
        <f t="shared" si="16"/>
        <v>0</v>
      </c>
    </row>
    <row r="69" spans="1:23" s="261" customFormat="1" ht="15" customHeight="1">
      <c r="A69" s="187">
        <v>2</v>
      </c>
      <c r="B69" s="187">
        <v>0</v>
      </c>
      <c r="C69" s="187">
        <v>4</v>
      </c>
      <c r="D69" s="187">
        <v>40</v>
      </c>
      <c r="E69" s="106"/>
      <c r="F69" s="32" t="s">
        <v>47</v>
      </c>
      <c r="G69" s="110">
        <v>0</v>
      </c>
      <c r="H69" s="161"/>
      <c r="I69" s="112"/>
      <c r="J69" s="112"/>
      <c r="K69" s="112"/>
      <c r="L69" s="112"/>
      <c r="M69" s="110">
        <f t="shared" si="17"/>
        <v>0</v>
      </c>
      <c r="N69" s="116"/>
      <c r="O69" s="110">
        <v>0</v>
      </c>
      <c r="P69" s="110">
        <v>0</v>
      </c>
      <c r="Q69" s="110">
        <v>0</v>
      </c>
      <c r="R69" s="110">
        <v>0</v>
      </c>
      <c r="S69" s="117"/>
      <c r="T69" s="110">
        <f t="shared" si="13"/>
        <v>0</v>
      </c>
      <c r="U69" s="110">
        <f t="shared" si="14"/>
        <v>0</v>
      </c>
      <c r="V69" s="110">
        <f t="shared" si="15"/>
        <v>0</v>
      </c>
      <c r="W69" s="110">
        <f t="shared" si="16"/>
        <v>0</v>
      </c>
    </row>
    <row r="70" spans="1:23" s="261" customFormat="1" ht="15" customHeight="1" thickBot="1">
      <c r="A70" s="265">
        <v>2</v>
      </c>
      <c r="B70" s="265">
        <v>0</v>
      </c>
      <c r="C70" s="265">
        <v>4</v>
      </c>
      <c r="D70" s="265">
        <v>41</v>
      </c>
      <c r="E70" s="266"/>
      <c r="F70" s="129" t="s">
        <v>48</v>
      </c>
      <c r="G70" s="110">
        <v>0</v>
      </c>
      <c r="H70" s="161"/>
      <c r="I70" s="267"/>
      <c r="J70" s="267"/>
      <c r="K70" s="267"/>
      <c r="L70" s="267"/>
      <c r="M70" s="110">
        <f t="shared" si="17"/>
        <v>0</v>
      </c>
      <c r="N70" s="111"/>
      <c r="O70" s="110">
        <v>0</v>
      </c>
      <c r="P70" s="110">
        <v>0</v>
      </c>
      <c r="Q70" s="110">
        <v>0</v>
      </c>
      <c r="R70" s="110">
        <v>0</v>
      </c>
      <c r="S70" s="117"/>
      <c r="T70" s="110">
        <f t="shared" si="13"/>
        <v>0</v>
      </c>
      <c r="U70" s="110">
        <f t="shared" si="14"/>
        <v>0</v>
      </c>
      <c r="V70" s="110">
        <f t="shared" si="15"/>
        <v>0</v>
      </c>
      <c r="W70" s="110">
        <f t="shared" si="16"/>
        <v>0</v>
      </c>
    </row>
    <row r="71" spans="1:23" s="261" customFormat="1" ht="15" customHeight="1" thickBot="1">
      <c r="A71" s="192"/>
      <c r="B71" s="322"/>
      <c r="C71" s="323"/>
      <c r="D71" s="192"/>
      <c r="E71" s="320"/>
      <c r="F71" s="321" t="s">
        <v>95</v>
      </c>
      <c r="G71" s="314">
        <f>SUM(G49+G10)</f>
        <v>1424227970</v>
      </c>
      <c r="H71" s="161"/>
      <c r="I71" s="314">
        <f>SUM(I49+I10)</f>
        <v>0</v>
      </c>
      <c r="J71" s="314">
        <f>SUM(J49+J10)</f>
        <v>0</v>
      </c>
      <c r="K71" s="314">
        <f>SUM(K49+K10)</f>
        <v>0</v>
      </c>
      <c r="L71" s="314">
        <f>SUM(L49+L10)</f>
        <v>0</v>
      </c>
      <c r="M71" s="314">
        <f>SUM(M49+M10)</f>
        <v>1424227970</v>
      </c>
      <c r="N71" s="112"/>
      <c r="O71" s="314">
        <f>SUM(O49+O10)</f>
        <v>1388124124</v>
      </c>
      <c r="P71" s="314">
        <f>SUM(P49+P10)</f>
        <v>1388124124</v>
      </c>
      <c r="Q71" s="314">
        <f>SUM(Q49+Q10)</f>
        <v>1374270949</v>
      </c>
      <c r="R71" s="314">
        <f>SUM(R49+R10)</f>
        <v>1361954741</v>
      </c>
      <c r="S71" s="117"/>
      <c r="T71" s="314">
        <f>SUM(T49+T10)</f>
        <v>36103846</v>
      </c>
      <c r="U71" s="314">
        <f>SUM(U49+U10)</f>
        <v>0</v>
      </c>
      <c r="V71" s="314">
        <f>SUM(V49+V10)</f>
        <v>13853175</v>
      </c>
      <c r="W71" s="314">
        <f>SUM(W49+W10)</f>
        <v>12316208</v>
      </c>
    </row>
    <row r="72" spans="1:23" s="74" customFormat="1" ht="12">
      <c r="A72" s="268"/>
      <c r="B72" s="82"/>
      <c r="C72" s="268"/>
      <c r="D72" s="82"/>
      <c r="E72" s="82"/>
      <c r="F72" s="82"/>
      <c r="G72" s="202"/>
      <c r="H72" s="269"/>
      <c r="I72" s="270"/>
      <c r="J72" s="270"/>
      <c r="K72" s="270"/>
      <c r="L72" s="270"/>
      <c r="M72" s="202"/>
      <c r="N72" s="202"/>
      <c r="O72" s="202"/>
      <c r="P72" s="202"/>
      <c r="Q72" s="202"/>
      <c r="R72" s="202"/>
      <c r="S72" s="271"/>
      <c r="T72" s="271"/>
      <c r="U72" s="271"/>
      <c r="V72" s="271"/>
      <c r="W72" s="272"/>
    </row>
    <row r="73" spans="1:23" s="74" customFormat="1" ht="12">
      <c r="A73" s="273"/>
      <c r="B73" s="78"/>
      <c r="C73" s="273"/>
      <c r="D73" s="78"/>
      <c r="E73" s="78"/>
      <c r="F73" s="78"/>
      <c r="G73" s="172"/>
      <c r="H73" s="274"/>
      <c r="I73" s="275"/>
      <c r="J73" s="275"/>
      <c r="K73" s="275"/>
      <c r="L73" s="275"/>
      <c r="M73" s="172"/>
      <c r="N73" s="172"/>
      <c r="O73" s="172"/>
      <c r="P73" s="172"/>
      <c r="Q73" s="172"/>
      <c r="R73" s="172"/>
      <c r="S73" s="124"/>
      <c r="T73" s="124"/>
      <c r="U73" s="124"/>
      <c r="V73" s="124"/>
      <c r="W73" s="276"/>
    </row>
    <row r="74" spans="1:23" s="74" customFormat="1" ht="12">
      <c r="A74" s="273"/>
      <c r="B74" s="78"/>
      <c r="C74" s="273"/>
      <c r="D74" s="78"/>
      <c r="E74" s="78"/>
      <c r="F74" s="78"/>
      <c r="G74" s="172"/>
      <c r="H74" s="274"/>
      <c r="I74" s="275"/>
      <c r="J74" s="275"/>
      <c r="K74" s="275"/>
      <c r="L74" s="275"/>
      <c r="M74" s="172"/>
      <c r="N74" s="172"/>
      <c r="O74" s="172"/>
      <c r="P74" s="172"/>
      <c r="Q74" s="172"/>
      <c r="R74" s="172"/>
      <c r="S74" s="124"/>
      <c r="T74" s="124"/>
      <c r="U74" s="124"/>
      <c r="V74" s="124"/>
      <c r="W74" s="276"/>
    </row>
    <row r="75" spans="1:23" s="74" customFormat="1" ht="12">
      <c r="A75" s="273"/>
      <c r="B75" s="78"/>
      <c r="C75" s="273"/>
      <c r="D75" s="78"/>
      <c r="E75" s="78"/>
      <c r="F75" s="78"/>
      <c r="G75" s="172"/>
      <c r="H75" s="274"/>
      <c r="I75" s="275"/>
      <c r="J75" s="275"/>
      <c r="K75" s="275"/>
      <c r="L75" s="275"/>
      <c r="M75" s="172"/>
      <c r="N75" s="172"/>
      <c r="O75" s="172"/>
      <c r="P75" s="172"/>
      <c r="Q75" s="172"/>
      <c r="R75" s="172"/>
      <c r="S75" s="124"/>
      <c r="T75" s="124"/>
      <c r="U75" s="124"/>
      <c r="V75" s="124"/>
      <c r="W75" s="276"/>
    </row>
    <row r="76" spans="1:23" s="74" customFormat="1" ht="12">
      <c r="A76" s="277"/>
      <c r="B76" s="78"/>
      <c r="C76" s="273"/>
      <c r="D76" s="78"/>
      <c r="E76" s="278" t="s">
        <v>49</v>
      </c>
      <c r="F76" s="78"/>
      <c r="G76" s="172"/>
      <c r="H76" s="274"/>
      <c r="I76" s="275"/>
      <c r="J76" s="275"/>
      <c r="K76" s="275"/>
      <c r="L76" s="275"/>
      <c r="M76" s="172"/>
      <c r="N76" s="172"/>
      <c r="O76" s="172"/>
      <c r="P76" s="279" t="s">
        <v>94</v>
      </c>
      <c r="Q76" s="172"/>
      <c r="R76" s="172"/>
      <c r="S76" s="124"/>
      <c r="T76" s="124"/>
      <c r="U76" s="124"/>
      <c r="V76" s="124"/>
      <c r="W76" s="276"/>
    </row>
    <row r="77" spans="1:23" s="74" customFormat="1" ht="12">
      <c r="A77" s="273"/>
      <c r="B77" s="78"/>
      <c r="C77" s="273"/>
      <c r="D77" s="78"/>
      <c r="E77" s="78" t="s">
        <v>99</v>
      </c>
      <c r="F77" s="78"/>
      <c r="G77" s="172"/>
      <c r="H77" s="274"/>
      <c r="I77" s="275"/>
      <c r="J77" s="275"/>
      <c r="K77" s="275"/>
      <c r="L77" s="275"/>
      <c r="M77" s="172"/>
      <c r="N77" s="172"/>
      <c r="O77" s="172"/>
      <c r="P77" s="280" t="s">
        <v>51</v>
      </c>
      <c r="Q77" s="172"/>
      <c r="R77" s="172"/>
      <c r="S77" s="124"/>
      <c r="T77" s="124"/>
      <c r="U77" s="124"/>
      <c r="V77" s="124"/>
      <c r="W77" s="276"/>
    </row>
    <row r="78" spans="1:23" s="74" customFormat="1" ht="12.75" thickBot="1">
      <c r="A78" s="281"/>
      <c r="B78" s="90"/>
      <c r="C78" s="281"/>
      <c r="D78" s="90"/>
      <c r="E78" s="90"/>
      <c r="F78" s="90"/>
      <c r="G78" s="214"/>
      <c r="H78" s="282"/>
      <c r="I78" s="283"/>
      <c r="J78" s="283"/>
      <c r="K78" s="283"/>
      <c r="L78" s="283"/>
      <c r="M78" s="214"/>
      <c r="N78" s="214"/>
      <c r="O78" s="214"/>
      <c r="P78" s="214"/>
      <c r="Q78" s="214"/>
      <c r="R78" s="214"/>
      <c r="S78" s="284"/>
      <c r="T78" s="284"/>
      <c r="U78" s="284"/>
      <c r="V78" s="284"/>
      <c r="W78" s="285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9055118110236221" right="0.7874015748031497" top="0.3937007874015748" bottom="0.4724409448818898" header="0" footer="0.2755905511811024"/>
  <pageSetup horizontalDpi="600" verticalDpi="600" orientation="landscape" paperSize="5" scale="50" r:id="rId1"/>
  <headerFooter alignWithMargins="0">
    <oddFooter>&amp;C&amp;P  DE &amp;N&amp;RPROYECTO: GAF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X94"/>
  <sheetViews>
    <sheetView workbookViewId="0" topLeftCell="I1">
      <selection activeCell="T7" sqref="T7:T88"/>
    </sheetView>
  </sheetViews>
  <sheetFormatPr defaultColWidth="11.421875" defaultRowHeight="12.75"/>
  <cols>
    <col min="1" max="1" width="4.7109375" style="167" customWidth="1"/>
    <col min="2" max="2" width="5.00390625" style="167" customWidth="1"/>
    <col min="3" max="3" width="5.00390625" style="167" bestFit="1" customWidth="1"/>
    <col min="4" max="4" width="3.57421875" style="167" bestFit="1" customWidth="1"/>
    <col min="5" max="5" width="5.28125" style="167" customWidth="1"/>
    <col min="6" max="6" width="38.28125" style="167" customWidth="1"/>
    <col min="7" max="7" width="18.421875" style="168" bestFit="1" customWidth="1"/>
    <col min="8" max="8" width="1.7109375" style="169" customWidth="1"/>
    <col min="9" max="9" width="12.28125" style="170" customWidth="1"/>
    <col min="10" max="10" width="14.140625" style="170" customWidth="1"/>
    <col min="11" max="11" width="13.28125" style="170" customWidth="1"/>
    <col min="12" max="12" width="9.57421875" style="170" customWidth="1"/>
    <col min="13" max="13" width="18.28125" style="170" customWidth="1"/>
    <col min="14" max="14" width="1.7109375" style="172" customWidth="1"/>
    <col min="15" max="16" width="15.140625" style="170" customWidth="1"/>
    <col min="17" max="17" width="17.8515625" style="170" customWidth="1"/>
    <col min="18" max="18" width="15.421875" style="170" customWidth="1"/>
    <col min="19" max="19" width="1.7109375" style="174" customWidth="1"/>
    <col min="20" max="20" width="15.8515625" style="174" bestFit="1" customWidth="1"/>
    <col min="21" max="22" width="14.00390625" style="174" bestFit="1" customWidth="1"/>
    <col min="23" max="23" width="11.421875" style="167" bestFit="1" customWidth="1"/>
    <col min="24" max="24" width="12.7109375" style="167" bestFit="1" customWidth="1"/>
    <col min="25" max="16384" width="11.57421875" style="167" customWidth="1"/>
  </cols>
  <sheetData>
    <row r="1" spans="1:23" ht="12">
      <c r="A1" s="363" t="s">
        <v>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12">
      <c r="A2" s="363" t="s">
        <v>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</row>
    <row r="3" spans="1:23" ht="12">
      <c r="A3" s="363" t="s">
        <v>73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</row>
    <row r="4" spans="6:20" ht="12.75" thickBot="1">
      <c r="F4" s="157"/>
      <c r="K4" s="171"/>
      <c r="L4" s="171"/>
      <c r="P4" s="337"/>
      <c r="Q4" s="173"/>
      <c r="S4" s="168"/>
      <c r="T4" s="168"/>
    </row>
    <row r="5" spans="1:23" s="178" customFormat="1" ht="13.5" customHeight="1" thickBot="1">
      <c r="A5" s="364" t="s">
        <v>3</v>
      </c>
      <c r="B5" s="364" t="s">
        <v>4</v>
      </c>
      <c r="C5" s="364" t="s">
        <v>5</v>
      </c>
      <c r="D5" s="364" t="s">
        <v>6</v>
      </c>
      <c r="E5" s="364" t="s">
        <v>7</v>
      </c>
      <c r="F5" s="364" t="s">
        <v>8</v>
      </c>
      <c r="G5" s="362" t="s">
        <v>9</v>
      </c>
      <c r="H5" s="175"/>
      <c r="I5" s="367" t="s">
        <v>10</v>
      </c>
      <c r="J5" s="367"/>
      <c r="K5" s="362" t="s">
        <v>11</v>
      </c>
      <c r="L5" s="362" t="s">
        <v>12</v>
      </c>
      <c r="M5" s="362" t="s">
        <v>13</v>
      </c>
      <c r="N5" s="176"/>
      <c r="O5" s="362" t="s">
        <v>96</v>
      </c>
      <c r="P5" s="362"/>
      <c r="Q5" s="362"/>
      <c r="R5" s="362"/>
      <c r="S5" s="177"/>
      <c r="T5" s="362" t="s">
        <v>72</v>
      </c>
      <c r="U5" s="362"/>
      <c r="V5" s="362"/>
      <c r="W5" s="362"/>
    </row>
    <row r="6" spans="1:23" s="178" customFormat="1" ht="24.75" thickBot="1">
      <c r="A6" s="365"/>
      <c r="B6" s="365"/>
      <c r="C6" s="365"/>
      <c r="D6" s="365"/>
      <c r="E6" s="365"/>
      <c r="F6" s="365"/>
      <c r="G6" s="366"/>
      <c r="H6" s="175"/>
      <c r="I6" s="179" t="s">
        <v>14</v>
      </c>
      <c r="J6" s="180" t="s">
        <v>15</v>
      </c>
      <c r="K6" s="366"/>
      <c r="L6" s="366"/>
      <c r="M6" s="366"/>
      <c r="N6" s="176"/>
      <c r="O6" s="18" t="s">
        <v>16</v>
      </c>
      <c r="P6" s="18" t="s">
        <v>17</v>
      </c>
      <c r="Q6" s="18" t="s">
        <v>18</v>
      </c>
      <c r="R6" s="18" t="s">
        <v>19</v>
      </c>
      <c r="S6" s="177"/>
      <c r="T6" s="18" t="s">
        <v>74</v>
      </c>
      <c r="U6" s="18" t="s">
        <v>75</v>
      </c>
      <c r="V6" s="18" t="s">
        <v>76</v>
      </c>
      <c r="W6" s="18" t="s">
        <v>77</v>
      </c>
    </row>
    <row r="7" spans="1:23" ht="12">
      <c r="A7" s="158"/>
      <c r="B7" s="158"/>
      <c r="C7" s="158"/>
      <c r="D7" s="158"/>
      <c r="E7" s="158"/>
      <c r="F7" s="158"/>
      <c r="G7" s="181"/>
      <c r="H7" s="182"/>
      <c r="I7" s="181"/>
      <c r="J7" s="181"/>
      <c r="K7" s="181"/>
      <c r="L7" s="181"/>
      <c r="M7" s="183"/>
      <c r="N7" s="57"/>
      <c r="O7" s="183"/>
      <c r="P7" s="183"/>
      <c r="Q7" s="184"/>
      <c r="R7" s="184"/>
      <c r="T7" s="183"/>
      <c r="U7" s="183"/>
      <c r="V7" s="184"/>
      <c r="W7" s="184"/>
    </row>
    <row r="8" spans="1:24" ht="12">
      <c r="A8" s="51">
        <v>1</v>
      </c>
      <c r="B8" s="160"/>
      <c r="C8" s="160"/>
      <c r="D8" s="160"/>
      <c r="E8" s="160"/>
      <c r="F8" s="159" t="s">
        <v>20</v>
      </c>
      <c r="G8" s="185">
        <f>+G10+G49+G70</f>
        <v>7128517050</v>
      </c>
      <c r="H8" s="182"/>
      <c r="I8" s="185">
        <f>+I10+I49+I70</f>
        <v>33000000</v>
      </c>
      <c r="J8" s="185">
        <f>+J10+J49+J70</f>
        <v>0</v>
      </c>
      <c r="K8" s="185">
        <f>+K10+K49+K70</f>
        <v>0</v>
      </c>
      <c r="L8" s="185">
        <f>+L10+L49+L70</f>
        <v>0</v>
      </c>
      <c r="M8" s="185">
        <f>+M10+M49+M70</f>
        <v>7128517050</v>
      </c>
      <c r="N8" s="57"/>
      <c r="O8" s="185">
        <f>+O10+O49+O70</f>
        <v>6948188418</v>
      </c>
      <c r="P8" s="185">
        <f>+P10+P49+P70</f>
        <v>6938403303</v>
      </c>
      <c r="Q8" s="185">
        <f>+Q10+Q49+Q70</f>
        <v>6919739716</v>
      </c>
      <c r="R8" s="185">
        <f>+R10+R49+R70</f>
        <v>6907382332</v>
      </c>
      <c r="T8" s="57">
        <f>+M8-O8</f>
        <v>180328632</v>
      </c>
      <c r="U8" s="57">
        <f>+O8-P8</f>
        <v>9785115</v>
      </c>
      <c r="V8" s="57">
        <f>+P8-Q8</f>
        <v>18663587</v>
      </c>
      <c r="W8" s="57">
        <f>+Q8-R8</f>
        <v>12357384</v>
      </c>
      <c r="X8" s="157"/>
    </row>
    <row r="9" spans="1:24" ht="12">
      <c r="A9" s="160"/>
      <c r="B9" s="160"/>
      <c r="C9" s="160"/>
      <c r="D9" s="160"/>
      <c r="E9" s="160"/>
      <c r="F9" s="160"/>
      <c r="G9" s="185"/>
      <c r="H9" s="182"/>
      <c r="I9" s="57"/>
      <c r="J9" s="57"/>
      <c r="K9" s="57"/>
      <c r="L9" s="57"/>
      <c r="M9" s="185"/>
      <c r="N9" s="57"/>
      <c r="O9" s="57"/>
      <c r="P9" s="57"/>
      <c r="Q9" s="57"/>
      <c r="R9" s="57"/>
      <c r="T9" s="57"/>
      <c r="U9" s="57"/>
      <c r="V9" s="57"/>
      <c r="W9" s="57"/>
      <c r="X9" s="157"/>
    </row>
    <row r="10" spans="1:23" s="58" customFormat="1" ht="12">
      <c r="A10" s="51">
        <v>1</v>
      </c>
      <c r="B10" s="51">
        <v>0</v>
      </c>
      <c r="C10" s="51"/>
      <c r="D10" s="51"/>
      <c r="E10" s="51"/>
      <c r="F10" s="49" t="s">
        <v>21</v>
      </c>
      <c r="G10" s="108">
        <f>+G12+G39+G42</f>
        <v>4825300850</v>
      </c>
      <c r="H10" s="54"/>
      <c r="I10" s="57">
        <f>+'REC 20'!I10+'REC 21'!I10</f>
        <v>0</v>
      </c>
      <c r="J10" s="57">
        <f>+'REC 20'!J10+'REC 21'!J10</f>
        <v>0</v>
      </c>
      <c r="K10" s="57">
        <f>+'REC 20'!K10+'REC 21'!K10</f>
        <v>0</v>
      </c>
      <c r="L10" s="57">
        <f>+'REC 20'!L10+'REC 21'!L10</f>
        <v>0</v>
      </c>
      <c r="M10" s="53">
        <f>+M12+M39+M42</f>
        <v>4825300850</v>
      </c>
      <c r="N10" s="186"/>
      <c r="O10" s="55">
        <f>+O12+O39+O42</f>
        <v>4751312478</v>
      </c>
      <c r="P10" s="55">
        <f>+P12+P39+P42</f>
        <v>4751312478</v>
      </c>
      <c r="Q10" s="55">
        <f>+Q12+Q39+Q42</f>
        <v>4751312478</v>
      </c>
      <c r="R10" s="55">
        <f>+R12+R39+R42</f>
        <v>4748221302</v>
      </c>
      <c r="S10" s="56"/>
      <c r="T10" s="57">
        <f>+M10-O10</f>
        <v>73988372</v>
      </c>
      <c r="U10" s="57">
        <f>+O10-P10</f>
        <v>0</v>
      </c>
      <c r="V10" s="57">
        <f>+P10-Q10</f>
        <v>0</v>
      </c>
      <c r="W10" s="57">
        <f>+Q10-R10</f>
        <v>3091176</v>
      </c>
    </row>
    <row r="11" spans="1:23" ht="12">
      <c r="A11" s="187"/>
      <c r="B11" s="187"/>
      <c r="C11" s="187"/>
      <c r="D11" s="187"/>
      <c r="E11" s="187"/>
      <c r="F11" s="49"/>
      <c r="G11" s="53"/>
      <c r="H11" s="54"/>
      <c r="I11" s="188"/>
      <c r="J11" s="188"/>
      <c r="K11" s="188"/>
      <c r="L11" s="188"/>
      <c r="M11" s="53"/>
      <c r="N11" s="188"/>
      <c r="O11" s="188"/>
      <c r="P11" s="188"/>
      <c r="Q11" s="188"/>
      <c r="R11" s="188"/>
      <c r="T11" s="188"/>
      <c r="U11" s="188"/>
      <c r="V11" s="188"/>
      <c r="W11" s="188"/>
    </row>
    <row r="12" spans="1:23" s="58" customFormat="1" ht="24">
      <c r="A12" s="51">
        <v>1</v>
      </c>
      <c r="B12" s="51">
        <v>0</v>
      </c>
      <c r="C12" s="51">
        <v>1</v>
      </c>
      <c r="D12" s="51"/>
      <c r="E12" s="51"/>
      <c r="F12" s="49" t="s">
        <v>22</v>
      </c>
      <c r="G12" s="108">
        <f>+G14+G18+G22+G32+G35</f>
        <v>3483842850</v>
      </c>
      <c r="H12" s="54"/>
      <c r="I12" s="53">
        <f>+'REC 20'!I12+'REC 21'!I12</f>
        <v>0</v>
      </c>
      <c r="J12" s="53">
        <f>+'REC 20'!J12+'REC 21'!J12</f>
        <v>0</v>
      </c>
      <c r="K12" s="53">
        <f>+'REC 20'!K12+'REC 21'!K12</f>
        <v>0</v>
      </c>
      <c r="L12" s="53">
        <f>+'REC 20'!L12+'REC 21'!L12</f>
        <v>0</v>
      </c>
      <c r="M12" s="53">
        <f>+M14+M18+M22+M32+M35</f>
        <v>3466627904</v>
      </c>
      <c r="N12" s="55"/>
      <c r="O12" s="55">
        <f>+O14+O18+O22+O32+O35</f>
        <v>3446770904</v>
      </c>
      <c r="P12" s="55">
        <f>+P14+P18+P22+P32+P35</f>
        <v>3446770904</v>
      </c>
      <c r="Q12" s="55">
        <f>+Q14+Q18+Q22+Q32+Q35</f>
        <v>3446770904</v>
      </c>
      <c r="R12" s="55">
        <f>+R14+R18+R22+R32+R35</f>
        <v>3446729728</v>
      </c>
      <c r="S12" s="56"/>
      <c r="T12" s="57">
        <f>+M12-O12</f>
        <v>19857000</v>
      </c>
      <c r="U12" s="57">
        <f>+O12-P12</f>
        <v>0</v>
      </c>
      <c r="V12" s="57">
        <f>+P12-Q12</f>
        <v>0</v>
      </c>
      <c r="W12" s="57">
        <f>+Q12-R12</f>
        <v>41176</v>
      </c>
    </row>
    <row r="13" spans="1:23" s="58" customFormat="1" ht="12">
      <c r="A13" s="51"/>
      <c r="B13" s="51"/>
      <c r="C13" s="51"/>
      <c r="D13" s="51"/>
      <c r="E13" s="51"/>
      <c r="F13" s="49"/>
      <c r="G13" s="53"/>
      <c r="H13" s="54"/>
      <c r="I13" s="55"/>
      <c r="J13" s="55"/>
      <c r="K13" s="55"/>
      <c r="L13" s="55"/>
      <c r="M13" s="53"/>
      <c r="N13" s="55"/>
      <c r="O13" s="55"/>
      <c r="P13" s="55"/>
      <c r="Q13" s="55"/>
      <c r="R13" s="55"/>
      <c r="S13" s="56"/>
      <c r="T13" s="55"/>
      <c r="U13" s="55"/>
      <c r="V13" s="55"/>
      <c r="W13" s="55"/>
    </row>
    <row r="14" spans="1:23" s="58" customFormat="1" ht="12">
      <c r="A14" s="51">
        <v>1</v>
      </c>
      <c r="B14" s="51">
        <v>0</v>
      </c>
      <c r="C14" s="51">
        <v>1</v>
      </c>
      <c r="D14" s="51">
        <v>1</v>
      </c>
      <c r="E14" s="51"/>
      <c r="F14" s="49" t="s">
        <v>23</v>
      </c>
      <c r="G14" s="108">
        <f>+G15+G16</f>
        <v>2309037550</v>
      </c>
      <c r="H14" s="54"/>
      <c r="I14" s="53">
        <f>+'REC 20'!I14+'REC 21'!I14</f>
        <v>31261870</v>
      </c>
      <c r="J14" s="53">
        <f>+'REC 20'!J14+'REC 21'!J14</f>
        <v>226587182</v>
      </c>
      <c r="K14" s="53">
        <f>+'REC 20'!K14+'REC 21'!K14</f>
        <v>0</v>
      </c>
      <c r="L14" s="53">
        <f>+'REC 20'!L14+'REC 21'!L14</f>
        <v>0</v>
      </c>
      <c r="M14" s="53">
        <f>SUM(M15:M16)</f>
        <v>2504362862</v>
      </c>
      <c r="N14" s="55"/>
      <c r="O14" s="55">
        <f>SUM(O15:O16)</f>
        <v>2495466394</v>
      </c>
      <c r="P14" s="55">
        <f>SUM(P15:P16)</f>
        <v>2495466394</v>
      </c>
      <c r="Q14" s="55">
        <f>SUM(Q15:Q16)</f>
        <v>2495466394</v>
      </c>
      <c r="R14" s="55">
        <f>SUM(R15:R16)</f>
        <v>2495466394</v>
      </c>
      <c r="S14" s="56"/>
      <c r="T14" s="57">
        <f>+M14-O14</f>
        <v>8896468</v>
      </c>
      <c r="U14" s="57">
        <f>+O14-P14</f>
        <v>0</v>
      </c>
      <c r="V14" s="57">
        <f>+P14-Q14</f>
        <v>0</v>
      </c>
      <c r="W14" s="57">
        <f>+Q14-R14</f>
        <v>0</v>
      </c>
    </row>
    <row r="15" spans="1:23" ht="12">
      <c r="A15" s="187">
        <v>1</v>
      </c>
      <c r="B15" s="187">
        <v>0</v>
      </c>
      <c r="C15" s="187">
        <v>1</v>
      </c>
      <c r="D15" s="187">
        <v>1</v>
      </c>
      <c r="E15" s="187">
        <v>1</v>
      </c>
      <c r="F15" s="32" t="s">
        <v>52</v>
      </c>
      <c r="G15" s="189">
        <f>'REC 20'!G15+'REC 21'!G15</f>
        <v>2089037550</v>
      </c>
      <c r="H15" s="161"/>
      <c r="I15" s="319">
        <f>+'REC 20'!I15+'REC 21'!I15</f>
        <v>0</v>
      </c>
      <c r="J15" s="319">
        <f>+'REC 20'!J15+'REC 21'!J15</f>
        <v>226587182</v>
      </c>
      <c r="K15" s="319">
        <f>+'REC 20'!K15+'REC 21'!K15</f>
        <v>0</v>
      </c>
      <c r="L15" s="319">
        <f>+'REC 20'!L15+'REC 21'!L15</f>
        <v>0</v>
      </c>
      <c r="M15" s="189">
        <f>+'REC 20'!M15+'REC 21'!M15</f>
        <v>2315624732</v>
      </c>
      <c r="N15" s="188"/>
      <c r="O15" s="189">
        <f>'REC 20'!O15+'REC 21'!O15</f>
        <v>2310380817</v>
      </c>
      <c r="P15" s="189">
        <f>'REC 20'!P15+'REC 21'!P15</f>
        <v>2310380817</v>
      </c>
      <c r="Q15" s="189">
        <f>'REC 20'!Q15+'REC 21'!Q15</f>
        <v>2310380817</v>
      </c>
      <c r="R15" s="189">
        <f>'REC 20'!R15+'REC 21'!R15</f>
        <v>2310380817</v>
      </c>
      <c r="T15" s="190">
        <f>+M15-O15</f>
        <v>5243915</v>
      </c>
      <c r="U15" s="319">
        <f aca="true" t="shared" si="0" ref="U15:W16">+O15-P15</f>
        <v>0</v>
      </c>
      <c r="V15" s="319">
        <f t="shared" si="0"/>
        <v>0</v>
      </c>
      <c r="W15" s="319">
        <f t="shared" si="0"/>
        <v>0</v>
      </c>
    </row>
    <row r="16" spans="1:23" ht="12">
      <c r="A16" s="187">
        <v>1</v>
      </c>
      <c r="B16" s="187">
        <v>0</v>
      </c>
      <c r="C16" s="187">
        <v>1</v>
      </c>
      <c r="D16" s="187">
        <v>1</v>
      </c>
      <c r="E16" s="187">
        <v>2</v>
      </c>
      <c r="F16" s="32" t="s">
        <v>53</v>
      </c>
      <c r="G16" s="189">
        <f>'REC 20'!G16+'REC 21'!G16</f>
        <v>220000000</v>
      </c>
      <c r="H16" s="161"/>
      <c r="I16" s="319">
        <f>+'REC 20'!I16+'REC 21'!I16</f>
        <v>31261870</v>
      </c>
      <c r="J16" s="319">
        <f>+'REC 20'!J16+'REC 21'!J16</f>
        <v>0</v>
      </c>
      <c r="K16" s="319">
        <f>+'REC 20'!K16+'REC 21'!K16</f>
        <v>0</v>
      </c>
      <c r="L16" s="319">
        <f>+'REC 20'!L16+'REC 21'!L16</f>
        <v>0</v>
      </c>
      <c r="M16" s="189">
        <f>+'REC 20'!M16+'REC 21'!M16</f>
        <v>188738130</v>
      </c>
      <c r="N16" s="188"/>
      <c r="O16" s="189">
        <f>'REC 20'!O16+'REC 21'!O16</f>
        <v>185085577</v>
      </c>
      <c r="P16" s="189">
        <f>'REC 20'!P16+'REC 21'!P16</f>
        <v>185085577</v>
      </c>
      <c r="Q16" s="189">
        <f>'REC 20'!Q16+'REC 21'!Q16</f>
        <v>185085577</v>
      </c>
      <c r="R16" s="189">
        <f>'REC 20'!R16+'REC 21'!R16</f>
        <v>185085577</v>
      </c>
      <c r="T16" s="190">
        <f>+M16-O16</f>
        <v>3652553</v>
      </c>
      <c r="U16" s="319">
        <f t="shared" si="0"/>
        <v>0</v>
      </c>
      <c r="V16" s="319">
        <f t="shared" si="0"/>
        <v>0</v>
      </c>
      <c r="W16" s="319">
        <f t="shared" si="0"/>
        <v>0</v>
      </c>
    </row>
    <row r="17" spans="1:23" ht="12">
      <c r="A17" s="187"/>
      <c r="B17" s="187"/>
      <c r="C17" s="187"/>
      <c r="D17" s="187"/>
      <c r="E17" s="187"/>
      <c r="F17" s="32"/>
      <c r="G17" s="189"/>
      <c r="H17" s="161"/>
      <c r="I17" s="188"/>
      <c r="J17" s="188"/>
      <c r="K17" s="188"/>
      <c r="L17" s="188"/>
      <c r="M17" s="189"/>
      <c r="N17" s="188"/>
      <c r="O17" s="188"/>
      <c r="P17" s="188"/>
      <c r="Q17" s="188"/>
      <c r="R17" s="188"/>
      <c r="T17" s="188"/>
      <c r="U17" s="188"/>
      <c r="V17" s="188"/>
      <c r="W17" s="188"/>
    </row>
    <row r="18" spans="1:23" s="58" customFormat="1" ht="12">
      <c r="A18" s="51">
        <v>1</v>
      </c>
      <c r="B18" s="51">
        <v>0</v>
      </c>
      <c r="C18" s="51">
        <v>1</v>
      </c>
      <c r="D18" s="51">
        <v>4</v>
      </c>
      <c r="E18" s="51"/>
      <c r="F18" s="49" t="s">
        <v>24</v>
      </c>
      <c r="G18" s="108">
        <f>+G19+G20</f>
        <v>297462000</v>
      </c>
      <c r="H18" s="54"/>
      <c r="I18" s="53">
        <f>+'REC 20'!I18+'REC 21'!I18</f>
        <v>3616685</v>
      </c>
      <c r="J18" s="53">
        <f>+'REC 20'!J18+'REC 21'!J18</f>
        <v>22264586</v>
      </c>
      <c r="K18" s="53">
        <f>+'REC 20'!K18+'REC 21'!K18</f>
        <v>0</v>
      </c>
      <c r="L18" s="53">
        <f>+'REC 20'!L18+'REC 21'!L18</f>
        <v>0</v>
      </c>
      <c r="M18" s="53">
        <f>+M19+M20</f>
        <v>316109901</v>
      </c>
      <c r="N18" s="55"/>
      <c r="O18" s="55">
        <f>SUM(O19:O20)</f>
        <v>315121367</v>
      </c>
      <c r="P18" s="55">
        <f>SUM(P19:P20)</f>
        <v>315121367</v>
      </c>
      <c r="Q18" s="55">
        <f>SUM(Q19:Q20)</f>
        <v>315121367</v>
      </c>
      <c r="R18" s="55">
        <f>SUM(R19:R20)</f>
        <v>315121367</v>
      </c>
      <c r="S18" s="56"/>
      <c r="T18" s="57">
        <f>+M18-O18</f>
        <v>988534</v>
      </c>
      <c r="U18" s="57">
        <f>+O18-P18</f>
        <v>0</v>
      </c>
      <c r="V18" s="57">
        <f>+P18-Q18</f>
        <v>0</v>
      </c>
      <c r="W18" s="57">
        <f>+Q18-R18</f>
        <v>0</v>
      </c>
    </row>
    <row r="19" spans="1:23" ht="12">
      <c r="A19" s="187">
        <v>1</v>
      </c>
      <c r="B19" s="187">
        <v>0</v>
      </c>
      <c r="C19" s="187">
        <v>1</v>
      </c>
      <c r="D19" s="187">
        <v>4</v>
      </c>
      <c r="E19" s="187">
        <v>1</v>
      </c>
      <c r="F19" s="32" t="s">
        <v>54</v>
      </c>
      <c r="G19" s="189">
        <f>'REC 20'!G19+'REC 21'!G19</f>
        <v>32465700</v>
      </c>
      <c r="H19" s="161"/>
      <c r="I19" s="319">
        <f>+'REC 20'!I19+'REC 21'!I19</f>
        <v>3616685</v>
      </c>
      <c r="J19" s="319">
        <f>+'REC 20'!J19+'REC 21'!J19</f>
        <v>0</v>
      </c>
      <c r="K19" s="319">
        <f>+'REC 20'!K19+'REC 21'!K19</f>
        <v>0</v>
      </c>
      <c r="L19" s="319">
        <f>+'REC 20'!L19+'REC 21'!L19</f>
        <v>0</v>
      </c>
      <c r="M19" s="189">
        <f>+'REC 20'!M19+'REC 21'!M19</f>
        <v>28849015</v>
      </c>
      <c r="N19" s="188"/>
      <c r="O19" s="189">
        <f>'REC 20'!O19+'REC 21'!O19</f>
        <v>28848961</v>
      </c>
      <c r="P19" s="189">
        <f>'REC 20'!P19+'REC 21'!P19</f>
        <v>28848961</v>
      </c>
      <c r="Q19" s="189">
        <f>'REC 20'!Q19+'REC 21'!Q19</f>
        <v>28848961</v>
      </c>
      <c r="R19" s="189">
        <f>'REC 20'!R19+'REC 21'!R19</f>
        <v>28848961</v>
      </c>
      <c r="T19" s="190">
        <f>+M19-O19</f>
        <v>54</v>
      </c>
      <c r="U19" s="319">
        <f aca="true" t="shared" si="1" ref="U19:W20">+O19-P19</f>
        <v>0</v>
      </c>
      <c r="V19" s="319">
        <f t="shared" si="1"/>
        <v>0</v>
      </c>
      <c r="W19" s="319">
        <f t="shared" si="1"/>
        <v>0</v>
      </c>
    </row>
    <row r="20" spans="1:23" ht="12">
      <c r="A20" s="187">
        <v>1</v>
      </c>
      <c r="B20" s="187">
        <v>0</v>
      </c>
      <c r="C20" s="187">
        <v>1</v>
      </c>
      <c r="D20" s="187">
        <v>4</v>
      </c>
      <c r="E20" s="187">
        <v>2</v>
      </c>
      <c r="F20" s="32" t="s">
        <v>55</v>
      </c>
      <c r="G20" s="189">
        <f>'REC 20'!G20+'REC 21'!G20</f>
        <v>264996300</v>
      </c>
      <c r="H20" s="161"/>
      <c r="I20" s="319">
        <f>+'REC 20'!I20+'REC 21'!I20</f>
        <v>0</v>
      </c>
      <c r="J20" s="319">
        <f>+'REC 20'!J20+'REC 21'!J20</f>
        <v>22264586</v>
      </c>
      <c r="K20" s="319">
        <f>+'REC 20'!K20+'REC 21'!K20</f>
        <v>0</v>
      </c>
      <c r="L20" s="319">
        <f>+'REC 20'!L20+'REC 21'!L20</f>
        <v>0</v>
      </c>
      <c r="M20" s="189">
        <f>+'REC 20'!M20+'REC 21'!M20</f>
        <v>287260886</v>
      </c>
      <c r="N20" s="188"/>
      <c r="O20" s="189">
        <f>'REC 20'!O20+'REC 21'!O20</f>
        <v>286272406</v>
      </c>
      <c r="P20" s="189">
        <f>'REC 20'!P20+'REC 21'!P20</f>
        <v>286272406</v>
      </c>
      <c r="Q20" s="189">
        <f>'REC 20'!Q20+'REC 21'!Q20</f>
        <v>286272406</v>
      </c>
      <c r="R20" s="189">
        <f>'REC 20'!R20+'REC 21'!R20</f>
        <v>286272406</v>
      </c>
      <c r="T20" s="190">
        <f>+M20-O20</f>
        <v>988480</v>
      </c>
      <c r="U20" s="319">
        <f t="shared" si="1"/>
        <v>0</v>
      </c>
      <c r="V20" s="319">
        <f t="shared" si="1"/>
        <v>0</v>
      </c>
      <c r="W20" s="319">
        <f t="shared" si="1"/>
        <v>0</v>
      </c>
    </row>
    <row r="21" spans="1:23" ht="12">
      <c r="A21" s="187"/>
      <c r="B21" s="187"/>
      <c r="C21" s="187"/>
      <c r="D21" s="187"/>
      <c r="E21" s="187"/>
      <c r="F21" s="32"/>
      <c r="G21" s="189"/>
      <c r="H21" s="161"/>
      <c r="I21" s="188"/>
      <c r="J21" s="188"/>
      <c r="K21" s="188"/>
      <c r="L21" s="188"/>
      <c r="M21" s="189"/>
      <c r="N21" s="188"/>
      <c r="O21" s="188"/>
      <c r="P21" s="188"/>
      <c r="Q21" s="188"/>
      <c r="R21" s="188"/>
      <c r="T21" s="188"/>
      <c r="U21" s="188"/>
      <c r="V21" s="188"/>
      <c r="W21" s="188"/>
    </row>
    <row r="22" spans="1:23" ht="12">
      <c r="A22" s="51">
        <v>1</v>
      </c>
      <c r="B22" s="51">
        <v>0</v>
      </c>
      <c r="C22" s="51">
        <v>1</v>
      </c>
      <c r="D22" s="51">
        <v>5</v>
      </c>
      <c r="E22" s="51"/>
      <c r="F22" s="49" t="s">
        <v>25</v>
      </c>
      <c r="G22" s="108">
        <f>SUM(G23:G30)</f>
        <v>574031000</v>
      </c>
      <c r="H22" s="54"/>
      <c r="I22" s="53">
        <f>+'REC 20'!I22+'REC 21'!I22</f>
        <v>0</v>
      </c>
      <c r="J22" s="53">
        <f>+'REC 20'!J22+'REC 21'!J22</f>
        <v>0</v>
      </c>
      <c r="K22" s="53">
        <f>+'REC 20'!K22+'REC 21'!K22</f>
        <v>0</v>
      </c>
      <c r="L22" s="53">
        <f>+'REC 20'!L22+'REC 21'!L22</f>
        <v>0</v>
      </c>
      <c r="M22" s="53">
        <f>SUM(M23:M30)</f>
        <v>615184677</v>
      </c>
      <c r="N22" s="55"/>
      <c r="O22" s="55">
        <f>SUM(O23:O30)</f>
        <v>605646209</v>
      </c>
      <c r="P22" s="55">
        <f>SUM(P23:P30)</f>
        <v>605646209</v>
      </c>
      <c r="Q22" s="55">
        <f>SUM(Q23:Q30)</f>
        <v>605646209</v>
      </c>
      <c r="R22" s="55">
        <f>SUM(R23:R30)</f>
        <v>605646209</v>
      </c>
      <c r="T22" s="57">
        <f>+M22-O22</f>
        <v>9538468</v>
      </c>
      <c r="U22" s="57">
        <f>+O22-P22</f>
        <v>0</v>
      </c>
      <c r="V22" s="57">
        <f>+P22-Q22</f>
        <v>0</v>
      </c>
      <c r="W22" s="57">
        <f>+Q22-R22</f>
        <v>0</v>
      </c>
    </row>
    <row r="23" spans="1:23" ht="24">
      <c r="A23" s="187">
        <v>1</v>
      </c>
      <c r="B23" s="187">
        <v>0</v>
      </c>
      <c r="C23" s="187">
        <v>1</v>
      </c>
      <c r="D23" s="187">
        <v>5</v>
      </c>
      <c r="E23" s="187">
        <v>2</v>
      </c>
      <c r="F23" s="32" t="s">
        <v>56</v>
      </c>
      <c r="G23" s="189">
        <f>'REC 20'!G23+'REC 21'!G23</f>
        <v>69829000</v>
      </c>
      <c r="H23" s="161"/>
      <c r="I23" s="319">
        <f>+'REC 20'!I23+'REC 21'!I23</f>
        <v>0</v>
      </c>
      <c r="J23" s="319">
        <f>+'REC 20'!J23+'REC 21'!J23</f>
        <v>3110952</v>
      </c>
      <c r="K23" s="319">
        <f>+'REC 20'!K23+'REC 21'!K23</f>
        <v>0</v>
      </c>
      <c r="L23" s="319">
        <f>+'REC 20'!L23+'REC 21'!L23</f>
        <v>0</v>
      </c>
      <c r="M23" s="189">
        <f>'REC 20'!M23+'REC 21'!M23</f>
        <v>72939952</v>
      </c>
      <c r="N23" s="188"/>
      <c r="O23" s="189">
        <f>'REC 20'!O23+'REC 21'!O23</f>
        <v>72939952</v>
      </c>
      <c r="P23" s="189">
        <f>'REC 20'!P23+'REC 21'!P23</f>
        <v>72939952</v>
      </c>
      <c r="Q23" s="189">
        <f>'REC 20'!Q23+'REC 21'!Q23</f>
        <v>72939952</v>
      </c>
      <c r="R23" s="189">
        <f>'REC 20'!R23+'REC 21'!R23</f>
        <v>72939952</v>
      </c>
      <c r="T23" s="190">
        <f aca="true" t="shared" si="2" ref="T23:T30">+M23-O23</f>
        <v>0</v>
      </c>
      <c r="U23" s="319">
        <f aca="true" t="shared" si="3" ref="U23:W30">+O23-P23</f>
        <v>0</v>
      </c>
      <c r="V23" s="319">
        <f t="shared" si="3"/>
        <v>0</v>
      </c>
      <c r="W23" s="319">
        <f t="shared" si="3"/>
        <v>0</v>
      </c>
    </row>
    <row r="24" spans="1:23" ht="12">
      <c r="A24" s="187">
        <v>1</v>
      </c>
      <c r="B24" s="187">
        <v>0</v>
      </c>
      <c r="C24" s="187">
        <v>1</v>
      </c>
      <c r="D24" s="187">
        <v>5</v>
      </c>
      <c r="E24" s="187">
        <v>5</v>
      </c>
      <c r="F24" s="32" t="s">
        <v>57</v>
      </c>
      <c r="G24" s="189">
        <f>'REC 20'!G24+'REC 21'!G24</f>
        <v>12828000</v>
      </c>
      <c r="H24" s="161"/>
      <c r="I24" s="319">
        <f>+'REC 20'!I24+'REC 21'!I24</f>
        <v>0</v>
      </c>
      <c r="J24" s="319">
        <f>+'REC 20'!J24+'REC 21'!J24</f>
        <v>2172259</v>
      </c>
      <c r="K24" s="319">
        <f>+'REC 20'!K24+'REC 21'!K24</f>
        <v>0</v>
      </c>
      <c r="L24" s="319">
        <f>+'REC 20'!L24+'REC 21'!L24</f>
        <v>0</v>
      </c>
      <c r="M24" s="189">
        <f>'REC 20'!M24+'REC 21'!M24</f>
        <v>15000259</v>
      </c>
      <c r="N24" s="188"/>
      <c r="O24" s="189">
        <f>'REC 20'!O24+'REC 21'!O24</f>
        <v>14963249</v>
      </c>
      <c r="P24" s="189">
        <f>'REC 20'!P24+'REC 21'!P24</f>
        <v>14963249</v>
      </c>
      <c r="Q24" s="189">
        <f>'REC 20'!Q24+'REC 21'!Q24</f>
        <v>14963249</v>
      </c>
      <c r="R24" s="189">
        <f>'REC 20'!R24+'REC 21'!R24</f>
        <v>14963249</v>
      </c>
      <c r="T24" s="190">
        <f t="shared" si="2"/>
        <v>37010</v>
      </c>
      <c r="U24" s="319">
        <f t="shared" si="3"/>
        <v>0</v>
      </c>
      <c r="V24" s="319">
        <f t="shared" si="3"/>
        <v>0</v>
      </c>
      <c r="W24" s="319">
        <f t="shared" si="3"/>
        <v>0</v>
      </c>
    </row>
    <row r="25" spans="1:23" ht="12">
      <c r="A25" s="187">
        <v>1</v>
      </c>
      <c r="B25" s="187">
        <v>0</v>
      </c>
      <c r="C25" s="187">
        <v>1</v>
      </c>
      <c r="D25" s="187">
        <v>5</v>
      </c>
      <c r="E25" s="187">
        <v>12</v>
      </c>
      <c r="F25" s="32" t="s">
        <v>58</v>
      </c>
      <c r="G25" s="189">
        <f>'REC 20'!G25+'REC 21'!G25</f>
        <v>5855000</v>
      </c>
      <c r="H25" s="161"/>
      <c r="I25" s="319">
        <f>+'REC 20'!I25+'REC 21'!I25</f>
        <v>0</v>
      </c>
      <c r="J25" s="319">
        <f>+'REC 20'!J25+'REC 21'!J25</f>
        <v>0</v>
      </c>
      <c r="K25" s="319">
        <f>+'REC 20'!K25+'REC 21'!K25</f>
        <v>0</v>
      </c>
      <c r="L25" s="319">
        <f>+'REC 20'!L25+'REC 21'!L25</f>
        <v>0</v>
      </c>
      <c r="M25" s="189">
        <f>'REC 20'!M25+'REC 21'!M25</f>
        <v>5855000</v>
      </c>
      <c r="N25" s="188"/>
      <c r="O25" s="189">
        <f>'REC 20'!O25+'REC 21'!O25</f>
        <v>5798250</v>
      </c>
      <c r="P25" s="189">
        <f>'REC 20'!P25+'REC 21'!P25</f>
        <v>5798250</v>
      </c>
      <c r="Q25" s="189">
        <f>'REC 20'!Q25+'REC 21'!Q25</f>
        <v>5798250</v>
      </c>
      <c r="R25" s="189">
        <f>'REC 20'!R25+'REC 21'!R25</f>
        <v>5798250</v>
      </c>
      <c r="T25" s="190">
        <f t="shared" si="2"/>
        <v>56750</v>
      </c>
      <c r="U25" s="319">
        <f t="shared" si="3"/>
        <v>0</v>
      </c>
      <c r="V25" s="319">
        <f t="shared" si="3"/>
        <v>0</v>
      </c>
      <c r="W25" s="319">
        <f t="shared" si="3"/>
        <v>0</v>
      </c>
    </row>
    <row r="26" spans="1:23" ht="12">
      <c r="A26" s="187">
        <v>1</v>
      </c>
      <c r="B26" s="187">
        <v>0</v>
      </c>
      <c r="C26" s="187">
        <v>1</v>
      </c>
      <c r="D26" s="187">
        <v>5</v>
      </c>
      <c r="E26" s="187">
        <v>13</v>
      </c>
      <c r="F26" s="32" t="s">
        <v>59</v>
      </c>
      <c r="G26" s="189">
        <f>'REC 20'!G26+'REC 21'!G26</f>
        <v>6600000</v>
      </c>
      <c r="H26" s="161"/>
      <c r="I26" s="319">
        <f>+'REC 20'!I26+'REC 21'!I26</f>
        <v>0</v>
      </c>
      <c r="J26" s="319">
        <f>+'REC 20'!J26+'REC 21'!J26</f>
        <v>300000</v>
      </c>
      <c r="K26" s="319">
        <f>+'REC 20'!K26+'REC 21'!K26</f>
        <v>0</v>
      </c>
      <c r="L26" s="319">
        <f>+'REC 20'!L26+'REC 21'!L26</f>
        <v>0</v>
      </c>
      <c r="M26" s="189">
        <f>'REC 20'!M26+'REC 21'!M26</f>
        <v>6900000</v>
      </c>
      <c r="N26" s="188"/>
      <c r="O26" s="189">
        <f>'REC 20'!O26+'REC 21'!O26</f>
        <v>6787866</v>
      </c>
      <c r="P26" s="189">
        <f>'REC 20'!P26+'REC 21'!P26</f>
        <v>6787866</v>
      </c>
      <c r="Q26" s="189">
        <f>'REC 20'!Q26+'REC 21'!Q26</f>
        <v>6787866</v>
      </c>
      <c r="R26" s="189">
        <f>'REC 20'!R26+'REC 21'!R26</f>
        <v>6787866</v>
      </c>
      <c r="T26" s="190">
        <f t="shared" si="2"/>
        <v>112134</v>
      </c>
      <c r="U26" s="319">
        <f t="shared" si="3"/>
        <v>0</v>
      </c>
      <c r="V26" s="319">
        <f t="shared" si="3"/>
        <v>0</v>
      </c>
      <c r="W26" s="319">
        <f t="shared" si="3"/>
        <v>0</v>
      </c>
    </row>
    <row r="27" spans="1:23" ht="12">
      <c r="A27" s="187">
        <v>1</v>
      </c>
      <c r="B27" s="187">
        <v>0</v>
      </c>
      <c r="C27" s="187">
        <v>1</v>
      </c>
      <c r="D27" s="187">
        <v>5</v>
      </c>
      <c r="E27" s="187">
        <v>14</v>
      </c>
      <c r="F27" s="32" t="s">
        <v>60</v>
      </c>
      <c r="G27" s="189">
        <f>'REC 20'!G27+'REC 21'!G27</f>
        <v>100755000</v>
      </c>
      <c r="H27" s="161"/>
      <c r="I27" s="319">
        <f>+'REC 20'!I27+'REC 21'!I27</f>
        <v>0</v>
      </c>
      <c r="J27" s="319">
        <f>+'REC 20'!J27+'REC 21'!J27</f>
        <v>5368394</v>
      </c>
      <c r="K27" s="319">
        <f>+'REC 20'!K27+'REC 21'!K27</f>
        <v>0</v>
      </c>
      <c r="L27" s="319">
        <f>+'REC 20'!L27+'REC 21'!L27</f>
        <v>0</v>
      </c>
      <c r="M27" s="189">
        <f>'REC 20'!M27+'REC 21'!M27</f>
        <v>106123394</v>
      </c>
      <c r="N27" s="188"/>
      <c r="O27" s="189">
        <f>'REC 20'!O27+'REC 21'!O27</f>
        <v>105785390</v>
      </c>
      <c r="P27" s="189">
        <f>'REC 20'!P27+'REC 21'!P27</f>
        <v>105785390</v>
      </c>
      <c r="Q27" s="189">
        <f>'REC 20'!Q27+'REC 21'!Q27</f>
        <v>105785390</v>
      </c>
      <c r="R27" s="189">
        <f>'REC 20'!R27+'REC 21'!R27</f>
        <v>105785390</v>
      </c>
      <c r="T27" s="190">
        <f t="shared" si="2"/>
        <v>338004</v>
      </c>
      <c r="U27" s="319">
        <f t="shared" si="3"/>
        <v>0</v>
      </c>
      <c r="V27" s="319">
        <f t="shared" si="3"/>
        <v>0</v>
      </c>
      <c r="W27" s="319">
        <f t="shared" si="3"/>
        <v>0</v>
      </c>
    </row>
    <row r="28" spans="1:23" ht="12">
      <c r="A28" s="187">
        <v>1</v>
      </c>
      <c r="B28" s="187">
        <v>0</v>
      </c>
      <c r="C28" s="187">
        <v>1</v>
      </c>
      <c r="D28" s="187">
        <v>5</v>
      </c>
      <c r="E28" s="187">
        <v>15</v>
      </c>
      <c r="F28" s="32" t="s">
        <v>61</v>
      </c>
      <c r="G28" s="189">
        <f>'REC 20'!G28+'REC 21'!G28</f>
        <v>104952000</v>
      </c>
      <c r="H28" s="161"/>
      <c r="I28" s="319">
        <f>+'REC 20'!I28+'REC 21'!I28</f>
        <v>5368394</v>
      </c>
      <c r="J28" s="319">
        <f>+'REC 20'!J28+'REC 21'!J28</f>
        <v>22689613</v>
      </c>
      <c r="K28" s="319">
        <f>+'REC 20'!K28+'REC 21'!K28</f>
        <v>0</v>
      </c>
      <c r="L28" s="319">
        <f>+'REC 20'!L28+'REC 21'!L28</f>
        <v>0</v>
      </c>
      <c r="M28" s="189">
        <f>'REC 20'!M28+'REC 21'!M28</f>
        <v>122273219</v>
      </c>
      <c r="N28" s="188"/>
      <c r="O28" s="189">
        <f>'REC 20'!O28+'REC 21'!O28</f>
        <v>121842587</v>
      </c>
      <c r="P28" s="189">
        <f>'REC 20'!P28+'REC 21'!P28</f>
        <v>121842587</v>
      </c>
      <c r="Q28" s="189">
        <f>'REC 20'!Q28+'REC 21'!Q28</f>
        <v>121842587</v>
      </c>
      <c r="R28" s="189">
        <f>'REC 20'!R28+'REC 21'!R28</f>
        <v>121842587</v>
      </c>
      <c r="T28" s="190">
        <f t="shared" si="2"/>
        <v>430632</v>
      </c>
      <c r="U28" s="319">
        <f t="shared" si="3"/>
        <v>0</v>
      </c>
      <c r="V28" s="319">
        <f t="shared" si="3"/>
        <v>0</v>
      </c>
      <c r="W28" s="319">
        <f t="shared" si="3"/>
        <v>0</v>
      </c>
    </row>
    <row r="29" spans="1:23" ht="12">
      <c r="A29" s="187">
        <v>1</v>
      </c>
      <c r="B29" s="187">
        <v>0</v>
      </c>
      <c r="C29" s="187">
        <v>1</v>
      </c>
      <c r="D29" s="187">
        <v>5</v>
      </c>
      <c r="E29" s="187">
        <v>16</v>
      </c>
      <c r="F29" s="32" t="s">
        <v>62</v>
      </c>
      <c r="G29" s="189">
        <f>'REC 20'!G29+'REC 21'!G29</f>
        <v>218652000</v>
      </c>
      <c r="H29" s="161"/>
      <c r="I29" s="319">
        <f>+'REC 20'!I29+'REC 21'!I29</f>
        <v>0</v>
      </c>
      <c r="J29" s="319">
        <f>+'REC 20'!J29+'REC 21'!J29</f>
        <v>17513663</v>
      </c>
      <c r="K29" s="319">
        <f>+'REC 20'!K29+'REC 21'!K29</f>
        <v>0</v>
      </c>
      <c r="L29" s="319">
        <f>+'REC 20'!L29+'REC 21'!L29</f>
        <v>0</v>
      </c>
      <c r="M29" s="189">
        <f>'REC 20'!M29+'REC 21'!M29</f>
        <v>236165663</v>
      </c>
      <c r="N29" s="188"/>
      <c r="O29" s="189">
        <f>'REC 20'!O29+'REC 21'!O29</f>
        <v>227613611</v>
      </c>
      <c r="P29" s="189">
        <f>'REC 20'!P29+'REC 21'!P29</f>
        <v>227613611</v>
      </c>
      <c r="Q29" s="189">
        <f>'REC 20'!Q29+'REC 21'!Q29</f>
        <v>227613611</v>
      </c>
      <c r="R29" s="189">
        <f>'REC 20'!R29+'REC 21'!R29</f>
        <v>227613611</v>
      </c>
      <c r="T29" s="190">
        <f t="shared" si="2"/>
        <v>8552052</v>
      </c>
      <c r="U29" s="319">
        <f t="shared" si="3"/>
        <v>0</v>
      </c>
      <c r="V29" s="319">
        <f t="shared" si="3"/>
        <v>0</v>
      </c>
      <c r="W29" s="319">
        <f t="shared" si="3"/>
        <v>0</v>
      </c>
    </row>
    <row r="30" spans="1:23" ht="12">
      <c r="A30" s="187">
        <v>1</v>
      </c>
      <c r="B30" s="187">
        <v>0</v>
      </c>
      <c r="C30" s="187">
        <v>1</v>
      </c>
      <c r="D30" s="187">
        <v>5</v>
      </c>
      <c r="E30" s="187">
        <v>47</v>
      </c>
      <c r="F30" s="32" t="s">
        <v>63</v>
      </c>
      <c r="G30" s="189">
        <f>'REC 20'!G30+'REC 21'!G30</f>
        <v>54560000</v>
      </c>
      <c r="H30" s="161"/>
      <c r="I30" s="319">
        <f>+'REC 20'!I30+'REC 21'!I30</f>
        <v>4632810</v>
      </c>
      <c r="J30" s="319">
        <f>+'REC 20'!J30+'REC 21'!J30</f>
        <v>0</v>
      </c>
      <c r="K30" s="319">
        <f>+'REC 20'!K30+'REC 21'!K30</f>
        <v>0</v>
      </c>
      <c r="L30" s="319">
        <f>+'REC 20'!L30+'REC 21'!L30</f>
        <v>0</v>
      </c>
      <c r="M30" s="189">
        <f>'REC 20'!M30+'REC 21'!M30</f>
        <v>49927190</v>
      </c>
      <c r="N30" s="188"/>
      <c r="O30" s="189">
        <f>'REC 20'!O30+'REC 21'!O30</f>
        <v>49915304</v>
      </c>
      <c r="P30" s="189">
        <f>'REC 20'!P30+'REC 21'!P30</f>
        <v>49915304</v>
      </c>
      <c r="Q30" s="189">
        <f>'REC 20'!Q30+'REC 21'!Q30</f>
        <v>49915304</v>
      </c>
      <c r="R30" s="189">
        <f>'REC 20'!R30+'REC 21'!R30</f>
        <v>49915304</v>
      </c>
      <c r="T30" s="190">
        <f t="shared" si="2"/>
        <v>11886</v>
      </c>
      <c r="U30" s="319">
        <f t="shared" si="3"/>
        <v>0</v>
      </c>
      <c r="V30" s="319">
        <f t="shared" si="3"/>
        <v>0</v>
      </c>
      <c r="W30" s="319">
        <f t="shared" si="3"/>
        <v>0</v>
      </c>
    </row>
    <row r="31" spans="1:23" ht="12">
      <c r="A31" s="187"/>
      <c r="B31" s="187"/>
      <c r="C31" s="187"/>
      <c r="D31" s="187"/>
      <c r="E31" s="187"/>
      <c r="F31" s="32"/>
      <c r="G31" s="189"/>
      <c r="H31" s="161"/>
      <c r="I31" s="188"/>
      <c r="J31" s="188"/>
      <c r="K31" s="188"/>
      <c r="L31" s="188"/>
      <c r="M31" s="189"/>
      <c r="N31" s="188"/>
      <c r="O31" s="188"/>
      <c r="P31" s="188"/>
      <c r="Q31" s="188"/>
      <c r="R31" s="188"/>
      <c r="T31" s="188"/>
      <c r="U31" s="188"/>
      <c r="V31" s="188"/>
      <c r="W31" s="188"/>
    </row>
    <row r="32" spans="1:23" ht="24">
      <c r="A32" s="51">
        <v>1</v>
      </c>
      <c r="B32" s="51">
        <v>0</v>
      </c>
      <c r="C32" s="51">
        <v>1</v>
      </c>
      <c r="D32" s="51">
        <v>8</v>
      </c>
      <c r="E32" s="51"/>
      <c r="F32" s="49" t="s">
        <v>26</v>
      </c>
      <c r="G32" s="108">
        <f>+G33</f>
        <v>296048000</v>
      </c>
      <c r="H32" s="54"/>
      <c r="I32" s="53">
        <f>+'REC 20'!I32+'REC 21'!I32</f>
        <v>296048000</v>
      </c>
      <c r="J32" s="53">
        <f>+'REC 20'!J32+'REC 21'!J32</f>
        <v>0</v>
      </c>
      <c r="K32" s="53">
        <f>+'REC 20'!K32+'REC 21'!K32</f>
        <v>0</v>
      </c>
      <c r="L32" s="53">
        <f>+'REC 20'!L32+'REC 21'!L32</f>
        <v>0</v>
      </c>
      <c r="M32" s="53">
        <f>+M33</f>
        <v>0</v>
      </c>
      <c r="N32" s="55"/>
      <c r="O32" s="55">
        <f>+O33</f>
        <v>0</v>
      </c>
      <c r="P32" s="55">
        <f>+P33</f>
        <v>0</v>
      </c>
      <c r="Q32" s="55">
        <f>+Q33</f>
        <v>0</v>
      </c>
      <c r="R32" s="55">
        <f>+R33</f>
        <v>0</v>
      </c>
      <c r="T32" s="53">
        <f>+M32-O32</f>
        <v>0</v>
      </c>
      <c r="U32" s="57">
        <f aca="true" t="shared" si="4" ref="U32:W33">+O32-P32</f>
        <v>0</v>
      </c>
      <c r="V32" s="57">
        <f t="shared" si="4"/>
        <v>0</v>
      </c>
      <c r="W32" s="57">
        <f t="shared" si="4"/>
        <v>0</v>
      </c>
    </row>
    <row r="33" spans="1:23" ht="12">
      <c r="A33" s="187">
        <v>1</v>
      </c>
      <c r="B33" s="187">
        <v>0</v>
      </c>
      <c r="C33" s="187">
        <v>1</v>
      </c>
      <c r="D33" s="187">
        <v>8</v>
      </c>
      <c r="E33" s="187">
        <v>1</v>
      </c>
      <c r="F33" s="32" t="s">
        <v>21</v>
      </c>
      <c r="G33" s="189">
        <f>'REC 20'!G33+'REC 21'!G33</f>
        <v>296048000</v>
      </c>
      <c r="H33" s="161"/>
      <c r="I33" s="319">
        <f>+'REC 20'!I33+'REC 21'!I33</f>
        <v>296048000</v>
      </c>
      <c r="J33" s="319">
        <f>+'REC 20'!J33+'REC 21'!J33</f>
        <v>0</v>
      </c>
      <c r="K33" s="319">
        <f>+'REC 20'!K33+'REC 21'!K33</f>
        <v>0</v>
      </c>
      <c r="L33" s="319">
        <f>+'REC 20'!L33+'REC 21'!L33</f>
        <v>0</v>
      </c>
      <c r="M33" s="189">
        <f>+'REC 20'!M33+'REC 21'!M33</f>
        <v>0</v>
      </c>
      <c r="N33" s="188"/>
      <c r="O33" s="319">
        <f>'REC 20'!O33+'REC 21'!O33</f>
        <v>0</v>
      </c>
      <c r="P33" s="319">
        <f>'REC 20'!P33+'REC 21'!P33</f>
        <v>0</v>
      </c>
      <c r="Q33" s="319">
        <f>'REC 20'!Q33+'REC 21'!Q33</f>
        <v>0</v>
      </c>
      <c r="R33" s="319">
        <f>'REC 20'!R33+'REC 21'!R33</f>
        <v>0</v>
      </c>
      <c r="T33" s="190">
        <f>+M33-O33</f>
        <v>0</v>
      </c>
      <c r="U33" s="319">
        <f t="shared" si="4"/>
        <v>0</v>
      </c>
      <c r="V33" s="319">
        <f t="shared" si="4"/>
        <v>0</v>
      </c>
      <c r="W33" s="319">
        <f t="shared" si="4"/>
        <v>0</v>
      </c>
    </row>
    <row r="34" spans="1:23" ht="12">
      <c r="A34" s="187"/>
      <c r="B34" s="187"/>
      <c r="C34" s="187"/>
      <c r="D34" s="187"/>
      <c r="E34" s="187"/>
      <c r="F34" s="32"/>
      <c r="G34" s="189"/>
      <c r="H34" s="161"/>
      <c r="I34" s="188"/>
      <c r="J34" s="188"/>
      <c r="K34" s="188"/>
      <c r="L34" s="188"/>
      <c r="M34" s="189"/>
      <c r="N34" s="188"/>
      <c r="O34" s="188"/>
      <c r="P34" s="188"/>
      <c r="Q34" s="188"/>
      <c r="R34" s="188"/>
      <c r="T34" s="188"/>
      <c r="U34" s="188"/>
      <c r="V34" s="188"/>
      <c r="W34" s="188"/>
    </row>
    <row r="35" spans="1:23" ht="24">
      <c r="A35" s="51">
        <v>1</v>
      </c>
      <c r="B35" s="51">
        <v>0</v>
      </c>
      <c r="C35" s="51">
        <v>1</v>
      </c>
      <c r="D35" s="51">
        <v>9</v>
      </c>
      <c r="E35" s="51"/>
      <c r="F35" s="49" t="s">
        <v>27</v>
      </c>
      <c r="G35" s="108">
        <f>+G36+G37</f>
        <v>7264300</v>
      </c>
      <c r="H35" s="54"/>
      <c r="I35" s="53">
        <f>+'REC 20'!I35+'REC 21'!I35</f>
        <v>0</v>
      </c>
      <c r="J35" s="53">
        <f>+'REC 20'!J35+'REC 21'!J35</f>
        <v>0</v>
      </c>
      <c r="K35" s="53">
        <f>+'REC 20'!K35+'REC 21'!K35</f>
        <v>0</v>
      </c>
      <c r="L35" s="53">
        <f>+'REC 20'!L35+'REC 21'!L35</f>
        <v>0</v>
      </c>
      <c r="M35" s="53">
        <f>+M36+M37</f>
        <v>30970464</v>
      </c>
      <c r="N35" s="186"/>
      <c r="O35" s="55">
        <f>+O36+O37</f>
        <v>30536934</v>
      </c>
      <c r="P35" s="55">
        <f>+P36+P37</f>
        <v>30536934</v>
      </c>
      <c r="Q35" s="55">
        <f>+Q36+Q37</f>
        <v>30536934</v>
      </c>
      <c r="R35" s="55">
        <f>+R36+R37</f>
        <v>30495758</v>
      </c>
      <c r="T35" s="53">
        <f>+M35-O35</f>
        <v>433530</v>
      </c>
      <c r="U35" s="53">
        <f>+O35-P35</f>
        <v>0</v>
      </c>
      <c r="V35" s="53">
        <f>+P35-Q35</f>
        <v>0</v>
      </c>
      <c r="W35" s="53">
        <f>+Q35-R35</f>
        <v>41176</v>
      </c>
    </row>
    <row r="36" spans="1:23" ht="12">
      <c r="A36" s="187">
        <v>1</v>
      </c>
      <c r="B36" s="187">
        <v>0</v>
      </c>
      <c r="C36" s="187">
        <v>1</v>
      </c>
      <c r="D36" s="187">
        <v>9</v>
      </c>
      <c r="E36" s="187">
        <v>1</v>
      </c>
      <c r="F36" s="32" t="s">
        <v>64</v>
      </c>
      <c r="G36" s="189">
        <f>'REC 20'!G36+'REC 21'!G36</f>
        <v>7264300</v>
      </c>
      <c r="H36" s="161"/>
      <c r="I36" s="189">
        <f>+'REC 20'!I36+'REC 21'!I36</f>
        <v>936848</v>
      </c>
      <c r="J36" s="319">
        <f>+'REC 20'!J36+'REC 21'!J36</f>
        <v>4745894</v>
      </c>
      <c r="K36" s="319">
        <f>+'REC 20'!K36+'REC 21'!K36</f>
        <v>0</v>
      </c>
      <c r="L36" s="319">
        <f>+'REC 20'!L36+'REC 21'!L36</f>
        <v>0</v>
      </c>
      <c r="M36" s="189">
        <f>+'REC 20'!M36+'REC 21'!M36</f>
        <v>11073346</v>
      </c>
      <c r="N36" s="188"/>
      <c r="O36" s="189">
        <f>'REC 20'!O36+'REC 21'!O36</f>
        <v>10639816</v>
      </c>
      <c r="P36" s="189">
        <f>'REC 20'!P36+'REC 21'!P36</f>
        <v>10639816</v>
      </c>
      <c r="Q36" s="189">
        <f>'REC 20'!Q36+'REC 21'!Q36</f>
        <v>10639816</v>
      </c>
      <c r="R36" s="189">
        <f>'REC 20'!R36+'REC 21'!R36</f>
        <v>10639816</v>
      </c>
      <c r="T36" s="190">
        <f>+M36-O36</f>
        <v>433530</v>
      </c>
      <c r="U36" s="319">
        <f aca="true" t="shared" si="5" ref="U36:W37">+O36-P36</f>
        <v>0</v>
      </c>
      <c r="V36" s="319">
        <f t="shared" si="5"/>
        <v>0</v>
      </c>
      <c r="W36" s="319">
        <f t="shared" si="5"/>
        <v>0</v>
      </c>
    </row>
    <row r="37" spans="1:23" ht="12">
      <c r="A37" s="187">
        <v>1</v>
      </c>
      <c r="B37" s="187">
        <v>0</v>
      </c>
      <c r="C37" s="187">
        <v>1</v>
      </c>
      <c r="D37" s="187">
        <v>9</v>
      </c>
      <c r="E37" s="187">
        <v>3</v>
      </c>
      <c r="F37" s="32" t="s">
        <v>65</v>
      </c>
      <c r="G37" s="189">
        <f>'REC 20'!G37+'REC 21'!G37</f>
        <v>0</v>
      </c>
      <c r="H37" s="161"/>
      <c r="I37" s="319">
        <f>+'REC 20'!I37+'REC 21'!I37</f>
        <v>0</v>
      </c>
      <c r="J37" s="189">
        <f>+'REC 20'!J37+'REC 21'!J37</f>
        <v>19897118</v>
      </c>
      <c r="K37" s="319">
        <f>+'REC 20'!K37+'REC 21'!K37</f>
        <v>0</v>
      </c>
      <c r="L37" s="319">
        <f>+'REC 20'!L37+'REC 21'!L37</f>
        <v>0</v>
      </c>
      <c r="M37" s="189">
        <f>+'REC 20'!M37+'REC 21'!M37</f>
        <v>19897118</v>
      </c>
      <c r="N37" s="188"/>
      <c r="O37" s="189">
        <f>'REC 20'!O37+'REC 21'!O37</f>
        <v>19897118</v>
      </c>
      <c r="P37" s="189">
        <f>'REC 20'!P37+'REC 21'!P37</f>
        <v>19897118</v>
      </c>
      <c r="Q37" s="189">
        <f>'REC 20'!Q37+'REC 21'!Q37</f>
        <v>19897118</v>
      </c>
      <c r="R37" s="189">
        <f>'REC 20'!R37+'REC 21'!R37</f>
        <v>19855942</v>
      </c>
      <c r="T37" s="190">
        <f>+M37-O37</f>
        <v>0</v>
      </c>
      <c r="U37" s="319">
        <f t="shared" si="5"/>
        <v>0</v>
      </c>
      <c r="V37" s="319">
        <f t="shared" si="5"/>
        <v>0</v>
      </c>
      <c r="W37" s="190">
        <f t="shared" si="5"/>
        <v>41176</v>
      </c>
    </row>
    <row r="38" spans="1:23" ht="12">
      <c r="A38" s="187"/>
      <c r="B38" s="187"/>
      <c r="C38" s="187"/>
      <c r="D38" s="187"/>
      <c r="E38" s="187"/>
      <c r="F38" s="32"/>
      <c r="G38" s="189"/>
      <c r="H38" s="161"/>
      <c r="I38" s="188"/>
      <c r="J38" s="188"/>
      <c r="K38" s="188"/>
      <c r="L38" s="188"/>
      <c r="M38" s="189"/>
      <c r="N38" s="188"/>
      <c r="O38" s="188"/>
      <c r="P38" s="188"/>
      <c r="Q38" s="188"/>
      <c r="R38" s="188"/>
      <c r="T38" s="188"/>
      <c r="U38" s="188"/>
      <c r="V38" s="188"/>
      <c r="W38" s="188"/>
    </row>
    <row r="39" spans="1:23" s="58" customFormat="1" ht="12">
      <c r="A39" s="51">
        <v>1</v>
      </c>
      <c r="B39" s="51">
        <v>0</v>
      </c>
      <c r="C39" s="51">
        <v>2</v>
      </c>
      <c r="D39" s="51"/>
      <c r="E39" s="51"/>
      <c r="F39" s="49" t="s">
        <v>28</v>
      </c>
      <c r="G39" s="108">
        <f>+G40</f>
        <v>360000000</v>
      </c>
      <c r="H39" s="54"/>
      <c r="I39" s="53">
        <f>+'REC 20'!I39+'REC 21'!I39</f>
        <v>0</v>
      </c>
      <c r="J39" s="53">
        <f>+'REC 20'!J39+'REC 21'!J39</f>
        <v>0</v>
      </c>
      <c r="K39" s="53">
        <f>+'REC 20'!K39+'REC 21'!K39</f>
        <v>0</v>
      </c>
      <c r="L39" s="53">
        <f>+'REC 20'!L39+'REC 21'!L39</f>
        <v>0</v>
      </c>
      <c r="M39" s="53">
        <f>+M40</f>
        <v>297597660</v>
      </c>
      <c r="N39" s="55"/>
      <c r="O39" s="55">
        <f>+O40</f>
        <v>247644220</v>
      </c>
      <c r="P39" s="55">
        <f>+P40</f>
        <v>247644220</v>
      </c>
      <c r="Q39" s="55">
        <f>+Q40</f>
        <v>247644220</v>
      </c>
      <c r="R39" s="55">
        <f>+R40</f>
        <v>244594220</v>
      </c>
      <c r="S39" s="56"/>
      <c r="T39" s="57">
        <f>+M39-O39</f>
        <v>49953440</v>
      </c>
      <c r="U39" s="57">
        <f aca="true" t="shared" si="6" ref="U39:W40">+O39-P39</f>
        <v>0</v>
      </c>
      <c r="V39" s="57">
        <f t="shared" si="6"/>
        <v>0</v>
      </c>
      <c r="W39" s="57">
        <f t="shared" si="6"/>
        <v>3050000</v>
      </c>
    </row>
    <row r="40" spans="1:23" ht="12">
      <c r="A40" s="187">
        <v>1</v>
      </c>
      <c r="B40" s="187">
        <v>0</v>
      </c>
      <c r="C40" s="187">
        <v>2</v>
      </c>
      <c r="D40" s="187">
        <v>14</v>
      </c>
      <c r="E40" s="187"/>
      <c r="F40" s="32" t="s">
        <v>66</v>
      </c>
      <c r="G40" s="189">
        <f>'REC 20'!G40+'REC 21'!G40</f>
        <v>360000000</v>
      </c>
      <c r="H40" s="161"/>
      <c r="I40" s="319">
        <f>+'REC 20'!I40+'REC 21'!I40</f>
        <v>62402340</v>
      </c>
      <c r="J40" s="319">
        <f>+'REC 20'!J40+'REC 21'!J40</f>
        <v>0</v>
      </c>
      <c r="K40" s="319">
        <f>+'REC 20'!K40+'REC 21'!K40</f>
        <v>0</v>
      </c>
      <c r="L40" s="319">
        <f>+'REC 20'!L40+'REC 21'!L40</f>
        <v>0</v>
      </c>
      <c r="M40" s="189">
        <f>+'REC 20'!M40+'REC 21'!M40</f>
        <v>297597660</v>
      </c>
      <c r="N40" s="188"/>
      <c r="O40" s="189">
        <f>'REC 20'!O40+'REC 21'!O40</f>
        <v>247644220</v>
      </c>
      <c r="P40" s="189">
        <f>'REC 20'!P40+'REC 21'!P40</f>
        <v>247644220</v>
      </c>
      <c r="Q40" s="189">
        <f>'REC 20'!Q40+'REC 21'!Q40</f>
        <v>247644220</v>
      </c>
      <c r="R40" s="189">
        <f>'REC 20'!R40+'REC 21'!R40</f>
        <v>244594220</v>
      </c>
      <c r="T40" s="190">
        <f>+M40-O40</f>
        <v>49953440</v>
      </c>
      <c r="U40" s="190">
        <f t="shared" si="6"/>
        <v>0</v>
      </c>
      <c r="V40" s="190">
        <f t="shared" si="6"/>
        <v>0</v>
      </c>
      <c r="W40" s="319">
        <f t="shared" si="6"/>
        <v>3050000</v>
      </c>
    </row>
    <row r="41" spans="1:23" ht="12">
      <c r="A41" s="187"/>
      <c r="B41" s="187"/>
      <c r="C41" s="187"/>
      <c r="D41" s="187"/>
      <c r="E41" s="187"/>
      <c r="F41" s="32"/>
      <c r="G41" s="189"/>
      <c r="H41" s="161"/>
      <c r="I41" s="319"/>
      <c r="J41" s="319"/>
      <c r="K41" s="319"/>
      <c r="L41" s="319"/>
      <c r="M41" s="189"/>
      <c r="N41" s="188"/>
      <c r="O41" s="188"/>
      <c r="P41" s="188"/>
      <c r="Q41" s="188"/>
      <c r="R41" s="188"/>
      <c r="T41" s="188"/>
      <c r="U41" s="188"/>
      <c r="V41" s="188"/>
      <c r="W41" s="188"/>
    </row>
    <row r="42" spans="1:23" s="58" customFormat="1" ht="24">
      <c r="A42" s="51">
        <v>1</v>
      </c>
      <c r="B42" s="51">
        <v>0</v>
      </c>
      <c r="C42" s="51">
        <v>5</v>
      </c>
      <c r="D42" s="51"/>
      <c r="E42" s="51"/>
      <c r="F42" s="49" t="s">
        <v>29</v>
      </c>
      <c r="G42" s="108">
        <f>SUM(G44:G47)</f>
        <v>981458000</v>
      </c>
      <c r="H42" s="54"/>
      <c r="I42" s="53">
        <f>+'REC 20'!I42+'REC 21'!I42</f>
        <v>0</v>
      </c>
      <c r="J42" s="53">
        <f>+'REC 20'!J42+'REC 21'!J42</f>
        <v>36175216</v>
      </c>
      <c r="K42" s="53">
        <f>+'REC 20'!K42+'REC 21'!K42</f>
        <v>0</v>
      </c>
      <c r="L42" s="53">
        <f>+'REC 20'!L42+'REC 21'!L42</f>
        <v>0</v>
      </c>
      <c r="M42" s="53">
        <f>SUM(M44:M47)</f>
        <v>1061075286</v>
      </c>
      <c r="N42" s="55"/>
      <c r="O42" s="53">
        <f>SUM(O44:O47)</f>
        <v>1056897354</v>
      </c>
      <c r="P42" s="53">
        <f>SUM(P44:P47)</f>
        <v>1056897354</v>
      </c>
      <c r="Q42" s="53">
        <f>SUM(Q44:Q47)</f>
        <v>1056897354</v>
      </c>
      <c r="R42" s="53">
        <f>SUM(R44:R47)</f>
        <v>1056897354</v>
      </c>
      <c r="S42" s="56"/>
      <c r="T42" s="57">
        <f>+M42-O42</f>
        <v>4177932</v>
      </c>
      <c r="U42" s="57">
        <f>+O42-P42</f>
        <v>0</v>
      </c>
      <c r="V42" s="57">
        <f>+P42-Q42</f>
        <v>0</v>
      </c>
      <c r="W42" s="57">
        <f>+Q42-R42</f>
        <v>0</v>
      </c>
    </row>
    <row r="43" spans="1:23" ht="12">
      <c r="A43" s="51"/>
      <c r="B43" s="51"/>
      <c r="C43" s="51"/>
      <c r="D43" s="51"/>
      <c r="E43" s="51"/>
      <c r="F43" s="49"/>
      <c r="G43" s="53"/>
      <c r="H43" s="54"/>
      <c r="I43" s="188"/>
      <c r="J43" s="188"/>
      <c r="K43" s="188"/>
      <c r="L43" s="188"/>
      <c r="M43" s="53"/>
      <c r="N43" s="188"/>
      <c r="O43" s="188"/>
      <c r="P43" s="188"/>
      <c r="Q43" s="188"/>
      <c r="R43" s="188"/>
      <c r="T43" s="188"/>
      <c r="U43" s="188"/>
      <c r="V43" s="188"/>
      <c r="W43" s="188"/>
    </row>
    <row r="44" spans="1:23" s="58" customFormat="1" ht="16.5" customHeight="1">
      <c r="A44" s="187">
        <v>1</v>
      </c>
      <c r="B44" s="187">
        <v>0</v>
      </c>
      <c r="C44" s="187">
        <v>5</v>
      </c>
      <c r="D44" s="187">
        <v>1</v>
      </c>
      <c r="E44" s="187"/>
      <c r="F44" s="32" t="s">
        <v>30</v>
      </c>
      <c r="G44" s="189">
        <f>'REC 20'!G44+'REC 21'!G44</f>
        <v>495798000</v>
      </c>
      <c r="H44" s="54"/>
      <c r="I44" s="189">
        <f>+'REC 20'!I44+'REC 21'!I44</f>
        <v>8714126</v>
      </c>
      <c r="J44" s="319">
        <f>+'REC 20'!J44+'REC 21'!J44</f>
        <v>31375216</v>
      </c>
      <c r="K44" s="319">
        <f>+'REC 20'!K44+'REC 21'!K44</f>
        <v>0</v>
      </c>
      <c r="L44" s="319">
        <f>+'REC 20'!L44+'REC 21'!L44</f>
        <v>0</v>
      </c>
      <c r="M44" s="53">
        <f>+'REC 20'!M44+'REC 21'!M44</f>
        <v>518459090</v>
      </c>
      <c r="N44" s="188"/>
      <c r="O44" s="189">
        <f>'REC 20'!O44+'REC 21'!O44</f>
        <v>514750990</v>
      </c>
      <c r="P44" s="189">
        <f>'REC 20'!P44+'REC 21'!P44</f>
        <v>514750990</v>
      </c>
      <c r="Q44" s="189">
        <f>'REC 20'!Q44+'REC 21'!Q44</f>
        <v>514750990</v>
      </c>
      <c r="R44" s="189">
        <f>'REC 20'!R44+'REC 21'!R44</f>
        <v>514750990</v>
      </c>
      <c r="S44" s="56"/>
      <c r="T44" s="190">
        <f>+M44-O44</f>
        <v>3708100</v>
      </c>
      <c r="U44" s="319">
        <f aca="true" t="shared" si="7" ref="U44:W47">+O44-P44</f>
        <v>0</v>
      </c>
      <c r="V44" s="319">
        <f t="shared" si="7"/>
        <v>0</v>
      </c>
      <c r="W44" s="319">
        <f t="shared" si="7"/>
        <v>0</v>
      </c>
    </row>
    <row r="45" spans="1:23" s="58" customFormat="1" ht="16.5" customHeight="1">
      <c r="A45" s="187">
        <v>1</v>
      </c>
      <c r="B45" s="187">
        <v>0</v>
      </c>
      <c r="C45" s="187">
        <v>5</v>
      </c>
      <c r="D45" s="187">
        <v>2</v>
      </c>
      <c r="E45" s="51"/>
      <c r="F45" s="32" t="s">
        <v>31</v>
      </c>
      <c r="G45" s="189">
        <f>'REC 20'!G45+'REC 21'!G45</f>
        <v>354435000</v>
      </c>
      <c r="H45" s="54"/>
      <c r="I45" s="319">
        <f>+'REC 20'!I45+'REC 21'!I45</f>
        <v>2825135</v>
      </c>
      <c r="J45" s="319">
        <f>+'REC 20'!J45+'REC 21'!J45</f>
        <v>47981331</v>
      </c>
      <c r="K45" s="319">
        <f>+'REC 20'!K45+'REC 21'!K45</f>
        <v>0</v>
      </c>
      <c r="L45" s="319">
        <f>+'REC 20'!L45+'REC 21'!L45</f>
        <v>0</v>
      </c>
      <c r="M45" s="189">
        <f>'REC 20'!M45+'REC 21'!M45</f>
        <v>399591196</v>
      </c>
      <c r="N45" s="188"/>
      <c r="O45" s="189">
        <f>'REC 20'!O45+'REC 21'!O45</f>
        <v>399511564</v>
      </c>
      <c r="P45" s="189">
        <f>'REC 20'!P45+'REC 21'!P45</f>
        <v>399511564</v>
      </c>
      <c r="Q45" s="189">
        <f>'REC 20'!Q45+'REC 21'!Q45</f>
        <v>399511564</v>
      </c>
      <c r="R45" s="189">
        <f>'REC 20'!R45+'REC 21'!R45</f>
        <v>399511564</v>
      </c>
      <c r="S45" s="56"/>
      <c r="T45" s="190">
        <f>+M45-O45</f>
        <v>79632</v>
      </c>
      <c r="U45" s="319">
        <f t="shared" si="7"/>
        <v>0</v>
      </c>
      <c r="V45" s="319">
        <f t="shared" si="7"/>
        <v>0</v>
      </c>
      <c r="W45" s="319">
        <f t="shared" si="7"/>
        <v>0</v>
      </c>
    </row>
    <row r="46" spans="1:23" ht="12">
      <c r="A46" s="187">
        <v>1</v>
      </c>
      <c r="B46" s="187">
        <v>0</v>
      </c>
      <c r="C46" s="187">
        <v>5</v>
      </c>
      <c r="D46" s="187">
        <v>6</v>
      </c>
      <c r="E46" s="160"/>
      <c r="F46" s="32" t="s">
        <v>67</v>
      </c>
      <c r="G46" s="189">
        <f>'REC 20'!G46+'REC 21'!G46</f>
        <v>78735000</v>
      </c>
      <c r="H46" s="161"/>
      <c r="I46" s="319">
        <f>+'REC 20'!I46+'REC 21'!I46</f>
        <v>0</v>
      </c>
      <c r="J46" s="319">
        <f>+'REC 20'!J46+'REC 21'!J46</f>
        <v>7000000</v>
      </c>
      <c r="K46" s="319">
        <f>+'REC 20'!K46+'REC 21'!K46</f>
        <v>0</v>
      </c>
      <c r="L46" s="319">
        <f>+'REC 20'!L46+'REC 21'!L46</f>
        <v>0</v>
      </c>
      <c r="M46" s="189">
        <f>'REC 20'!M46+'REC 21'!M46</f>
        <v>85735000</v>
      </c>
      <c r="N46" s="188"/>
      <c r="O46" s="189">
        <f>'REC 20'!O46+'REC 21'!O46</f>
        <v>85581300</v>
      </c>
      <c r="P46" s="189">
        <f>'REC 20'!P46+'REC 21'!P46</f>
        <v>85581300</v>
      </c>
      <c r="Q46" s="189">
        <f>'REC 20'!Q46+'REC 21'!Q46</f>
        <v>85581300</v>
      </c>
      <c r="R46" s="189">
        <f>'REC 20'!R46+'REC 21'!R46</f>
        <v>85581300</v>
      </c>
      <c r="T46" s="190">
        <f>+M46-O46</f>
        <v>153700</v>
      </c>
      <c r="U46" s="319">
        <f t="shared" si="7"/>
        <v>0</v>
      </c>
      <c r="V46" s="319">
        <f t="shared" si="7"/>
        <v>0</v>
      </c>
      <c r="W46" s="319">
        <f t="shared" si="7"/>
        <v>0</v>
      </c>
    </row>
    <row r="47" spans="1:23" ht="12">
      <c r="A47" s="187">
        <v>1</v>
      </c>
      <c r="B47" s="187">
        <v>0</v>
      </c>
      <c r="C47" s="187">
        <v>5</v>
      </c>
      <c r="D47" s="187">
        <v>7</v>
      </c>
      <c r="E47" s="160"/>
      <c r="F47" s="32" t="s">
        <v>68</v>
      </c>
      <c r="G47" s="189">
        <f>'REC 20'!G47+'REC 21'!G47</f>
        <v>52490000</v>
      </c>
      <c r="H47" s="161"/>
      <c r="I47" s="319">
        <f>+'REC 20'!I47+'REC 21'!I47</f>
        <v>0</v>
      </c>
      <c r="J47" s="319">
        <f>+'REC 20'!J47+'REC 21'!J47</f>
        <v>4800000</v>
      </c>
      <c r="K47" s="319">
        <f>+'REC 20'!K47+'REC 21'!K47</f>
        <v>0</v>
      </c>
      <c r="L47" s="319">
        <f>+'REC 20'!L47+'REC 21'!L47</f>
        <v>0</v>
      </c>
      <c r="M47" s="189">
        <f>'REC 20'!M47+'REC 21'!M47</f>
        <v>57290000</v>
      </c>
      <c r="N47" s="188"/>
      <c r="O47" s="189">
        <f>'REC 20'!O47+'REC 21'!O47</f>
        <v>57053500</v>
      </c>
      <c r="P47" s="189">
        <f>'REC 20'!P47+'REC 21'!P47</f>
        <v>57053500</v>
      </c>
      <c r="Q47" s="189">
        <f>'REC 20'!Q47+'REC 21'!Q47</f>
        <v>57053500</v>
      </c>
      <c r="R47" s="189">
        <f>'REC 20'!R47+'REC 21'!R47</f>
        <v>57053500</v>
      </c>
      <c r="T47" s="190">
        <f>+M47-O47</f>
        <v>236500</v>
      </c>
      <c r="U47" s="319">
        <f t="shared" si="7"/>
        <v>0</v>
      </c>
      <c r="V47" s="319">
        <f t="shared" si="7"/>
        <v>0</v>
      </c>
      <c r="W47" s="319">
        <f t="shared" si="7"/>
        <v>0</v>
      </c>
    </row>
    <row r="48" spans="1:23" ht="12">
      <c r="A48" s="160"/>
      <c r="B48" s="160"/>
      <c r="C48" s="160"/>
      <c r="D48" s="160"/>
      <c r="E48" s="160"/>
      <c r="F48" s="160"/>
      <c r="G48" s="189"/>
      <c r="H48" s="161"/>
      <c r="I48" s="57"/>
      <c r="J48" s="57"/>
      <c r="K48" s="57"/>
      <c r="L48" s="57"/>
      <c r="M48" s="189"/>
      <c r="N48" s="57"/>
      <c r="O48" s="57"/>
      <c r="P48" s="57"/>
      <c r="Q48" s="57"/>
      <c r="R48" s="57"/>
      <c r="T48" s="57"/>
      <c r="U48" s="57"/>
      <c r="V48" s="57"/>
      <c r="W48" s="57"/>
    </row>
    <row r="49" spans="1:23" s="347" customFormat="1" ht="12">
      <c r="A49" s="340">
        <v>2</v>
      </c>
      <c r="B49" s="340">
        <v>0</v>
      </c>
      <c r="C49" s="340"/>
      <c r="D49" s="340"/>
      <c r="E49" s="340"/>
      <c r="F49" s="341" t="s">
        <v>32</v>
      </c>
      <c r="G49" s="342">
        <f>+G51+G54</f>
        <v>1696216200</v>
      </c>
      <c r="H49" s="343"/>
      <c r="I49" s="342">
        <f>+'REC 20'!I49+'REC 21'!I49</f>
        <v>0</v>
      </c>
      <c r="J49" s="342">
        <f>+'REC 20'!J49+'REC 21'!J49</f>
        <v>0</v>
      </c>
      <c r="K49" s="342">
        <f>+'REC 20'!K49+'REC 21'!K49</f>
        <v>0</v>
      </c>
      <c r="L49" s="342">
        <f>+'REC 20'!L49+'REC 21'!L49</f>
        <v>0</v>
      </c>
      <c r="M49" s="342">
        <f>+M51+M54</f>
        <v>1729216200</v>
      </c>
      <c r="N49" s="344"/>
      <c r="O49" s="344">
        <f>+O51+O54</f>
        <v>1631515803</v>
      </c>
      <c r="P49" s="344">
        <f>+P51+P54</f>
        <v>1621730688</v>
      </c>
      <c r="Q49" s="344">
        <f>+Q51+Q54</f>
        <v>1603067101</v>
      </c>
      <c r="R49" s="344">
        <f>+R51+R54</f>
        <v>1593800893</v>
      </c>
      <c r="S49" s="345"/>
      <c r="T49" s="346">
        <f>+M49-O49</f>
        <v>97700397</v>
      </c>
      <c r="U49" s="346">
        <f>+O49-P49</f>
        <v>9785115</v>
      </c>
      <c r="V49" s="346">
        <f>+P49-Q49</f>
        <v>18663587</v>
      </c>
      <c r="W49" s="346">
        <f>+Q49-R49</f>
        <v>9266208</v>
      </c>
    </row>
    <row r="50" spans="1:23" ht="12">
      <c r="A50" s="51"/>
      <c r="B50" s="51"/>
      <c r="C50" s="51"/>
      <c r="D50" s="51"/>
      <c r="E50" s="51"/>
      <c r="F50" s="49"/>
      <c r="G50" s="53"/>
      <c r="H50" s="54"/>
      <c r="I50" s="55"/>
      <c r="J50" s="55"/>
      <c r="K50" s="55"/>
      <c r="L50" s="55"/>
      <c r="M50" s="53"/>
      <c r="N50" s="55"/>
      <c r="O50" s="55"/>
      <c r="P50" s="55"/>
      <c r="Q50" s="55"/>
      <c r="R50" s="55"/>
      <c r="T50" s="55"/>
      <c r="U50" s="55"/>
      <c r="V50" s="55"/>
      <c r="W50" s="55"/>
    </row>
    <row r="51" spans="1:23" s="58" customFormat="1" ht="12">
      <c r="A51" s="51">
        <v>2</v>
      </c>
      <c r="B51" s="51">
        <v>0</v>
      </c>
      <c r="C51" s="51">
        <v>3</v>
      </c>
      <c r="D51" s="51"/>
      <c r="E51" s="51"/>
      <c r="F51" s="49" t="s">
        <v>33</v>
      </c>
      <c r="G51" s="53">
        <f>+G52</f>
        <v>20105800</v>
      </c>
      <c r="H51" s="54"/>
      <c r="I51" s="53">
        <f>+'REC 20'!I51+'REC 21'!I51</f>
        <v>0</v>
      </c>
      <c r="J51" s="53">
        <f>+'REC 20'!J51+'REC 21'!J51</f>
        <v>0</v>
      </c>
      <c r="K51" s="53">
        <f>+'REC 20'!K51+'REC 21'!K51</f>
        <v>0</v>
      </c>
      <c r="L51" s="53">
        <f>+'REC 20'!L51+'REC 21'!L51</f>
        <v>0</v>
      </c>
      <c r="M51" s="53">
        <f>+M52</f>
        <v>22965300</v>
      </c>
      <c r="N51" s="55"/>
      <c r="O51" s="55">
        <f>+O52</f>
        <v>22826300</v>
      </c>
      <c r="P51" s="55">
        <f>+P52</f>
        <v>22826300</v>
      </c>
      <c r="Q51" s="55">
        <f>+Q52</f>
        <v>22826300</v>
      </c>
      <c r="R51" s="55">
        <f>+R52</f>
        <v>22826300</v>
      </c>
      <c r="S51" s="56"/>
      <c r="T51" s="57">
        <f>+M51-O51</f>
        <v>139000</v>
      </c>
      <c r="U51" s="57">
        <f aca="true" t="shared" si="8" ref="U51:W52">+O51-P51</f>
        <v>0</v>
      </c>
      <c r="V51" s="57">
        <f t="shared" si="8"/>
        <v>0</v>
      </c>
      <c r="W51" s="57">
        <f t="shared" si="8"/>
        <v>0</v>
      </c>
    </row>
    <row r="52" spans="1:23" ht="12">
      <c r="A52" s="187">
        <v>2</v>
      </c>
      <c r="B52" s="187">
        <v>0</v>
      </c>
      <c r="C52" s="187">
        <v>3</v>
      </c>
      <c r="D52" s="187">
        <v>50</v>
      </c>
      <c r="E52" s="187"/>
      <c r="F52" s="32" t="s">
        <v>69</v>
      </c>
      <c r="G52" s="189">
        <f>'REC 20'!G52+'REC 21'!G52</f>
        <v>20105800</v>
      </c>
      <c r="H52" s="161"/>
      <c r="I52" s="319">
        <f>+'REC 20'!I52+'REC 21'!I52</f>
        <v>0</v>
      </c>
      <c r="J52" s="319">
        <f>+'REC 20'!J52+'REC 21'!J52</f>
        <v>2859500</v>
      </c>
      <c r="K52" s="319">
        <f>+'REC 20'!K52+'REC 21'!K52</f>
        <v>0</v>
      </c>
      <c r="L52" s="319">
        <f>+'REC 20'!L52+'REC 21'!L52</f>
        <v>0</v>
      </c>
      <c r="M52" s="189">
        <f>+'REC 20'!M52+'REC 21'!M52</f>
        <v>22965300</v>
      </c>
      <c r="N52" s="188"/>
      <c r="O52" s="189">
        <f>'REC 20'!O52+'REC 21'!O52</f>
        <v>22826300</v>
      </c>
      <c r="P52" s="189">
        <f>'REC 20'!P52+'REC 21'!P52</f>
        <v>22826300</v>
      </c>
      <c r="Q52" s="189">
        <f>'REC 20'!Q52+'REC 21'!Q52</f>
        <v>22826300</v>
      </c>
      <c r="R52" s="189">
        <f>'REC 20'!R52+'REC 21'!R52</f>
        <v>22826300</v>
      </c>
      <c r="T52" s="190">
        <f>+M52-O52</f>
        <v>139000</v>
      </c>
      <c r="U52" s="319">
        <f t="shared" si="8"/>
        <v>0</v>
      </c>
      <c r="V52" s="319">
        <f t="shared" si="8"/>
        <v>0</v>
      </c>
      <c r="W52" s="319">
        <f t="shared" si="8"/>
        <v>0</v>
      </c>
    </row>
    <row r="53" spans="1:23" ht="12">
      <c r="A53" s="187"/>
      <c r="B53" s="187"/>
      <c r="C53" s="187"/>
      <c r="D53" s="187"/>
      <c r="E53" s="187"/>
      <c r="F53" s="32"/>
      <c r="G53" s="189"/>
      <c r="H53" s="161"/>
      <c r="I53" s="191"/>
      <c r="J53" s="191"/>
      <c r="K53" s="191"/>
      <c r="L53" s="191"/>
      <c r="M53" s="189"/>
      <c r="N53" s="191"/>
      <c r="O53" s="191"/>
      <c r="P53" s="191"/>
      <c r="Q53" s="191"/>
      <c r="R53" s="191"/>
      <c r="T53" s="191"/>
      <c r="U53" s="191"/>
      <c r="V53" s="191"/>
      <c r="W53" s="191"/>
    </row>
    <row r="54" spans="1:23" s="58" customFormat="1" ht="12">
      <c r="A54" s="51">
        <v>2</v>
      </c>
      <c r="B54" s="51">
        <v>0</v>
      </c>
      <c r="C54" s="51">
        <v>4</v>
      </c>
      <c r="D54" s="51"/>
      <c r="E54" s="51"/>
      <c r="F54" s="49" t="s">
        <v>34</v>
      </c>
      <c r="G54" s="53">
        <f>SUM(G56:G68)</f>
        <v>1676110400</v>
      </c>
      <c r="H54" s="54"/>
      <c r="I54" s="53">
        <f>+'REC 20'!I54+'REC 21'!I54</f>
        <v>0</v>
      </c>
      <c r="J54" s="53">
        <f>+'REC 20'!J54+'REC 21'!J54</f>
        <v>0</v>
      </c>
      <c r="K54" s="53">
        <f>+'REC 20'!K54+'REC 21'!K54</f>
        <v>0</v>
      </c>
      <c r="L54" s="53">
        <f>+'REC 20'!L54+'REC 21'!L54</f>
        <v>0</v>
      </c>
      <c r="M54" s="53">
        <f>SUM(M56:M68)</f>
        <v>1706250900</v>
      </c>
      <c r="N54" s="55"/>
      <c r="O54" s="55">
        <f>SUM(O56:O68)</f>
        <v>1608689503</v>
      </c>
      <c r="P54" s="55">
        <f>SUM(P56:P68)</f>
        <v>1598904388</v>
      </c>
      <c r="Q54" s="55">
        <f>SUM(Q56:Q68)</f>
        <v>1580240801</v>
      </c>
      <c r="R54" s="55">
        <f>SUM(R56:R68)</f>
        <v>1570974593</v>
      </c>
      <c r="S54" s="56"/>
      <c r="T54" s="57">
        <f>+M54-O54</f>
        <v>97561397</v>
      </c>
      <c r="U54" s="57">
        <f>+O54-P54</f>
        <v>9785115</v>
      </c>
      <c r="V54" s="57">
        <f>+P54-Q54</f>
        <v>18663587</v>
      </c>
      <c r="W54" s="57">
        <f>+Q54-R54</f>
        <v>9266208</v>
      </c>
    </row>
    <row r="55" spans="1:23" s="58" customFormat="1" ht="12">
      <c r="A55" s="51"/>
      <c r="B55" s="51"/>
      <c r="C55" s="51"/>
      <c r="D55" s="51"/>
      <c r="E55" s="51"/>
      <c r="F55" s="49"/>
      <c r="G55" s="53"/>
      <c r="H55" s="54"/>
      <c r="I55" s="55"/>
      <c r="J55" s="55"/>
      <c r="K55" s="55"/>
      <c r="L55" s="55"/>
      <c r="M55" s="53"/>
      <c r="N55" s="55"/>
      <c r="O55" s="55"/>
      <c r="P55" s="55"/>
      <c r="Q55" s="55"/>
      <c r="R55" s="55"/>
      <c r="S55" s="56"/>
      <c r="T55" s="55"/>
      <c r="U55" s="55"/>
      <c r="V55" s="55"/>
      <c r="W55" s="55"/>
    </row>
    <row r="56" spans="1:23" ht="15" customHeight="1">
      <c r="A56" s="187">
        <v>2</v>
      </c>
      <c r="B56" s="187">
        <v>0</v>
      </c>
      <c r="C56" s="187">
        <v>4</v>
      </c>
      <c r="D56" s="187">
        <v>1</v>
      </c>
      <c r="E56" s="187"/>
      <c r="F56" s="32" t="s">
        <v>35</v>
      </c>
      <c r="G56" s="189">
        <f>'REC 20'!G56+'REC 21'!G56</f>
        <v>68000000</v>
      </c>
      <c r="H56" s="161"/>
      <c r="I56" s="319">
        <f>+'REC 20'!I56+'REC 21'!I56</f>
        <v>0</v>
      </c>
      <c r="J56" s="319">
        <f>+'REC 20'!J56+'REC 21'!J56</f>
        <v>355000</v>
      </c>
      <c r="K56" s="319">
        <f>+'REC 20'!K56+'REC 21'!K56</f>
        <v>0</v>
      </c>
      <c r="L56" s="319">
        <f>+'REC 20'!L56+'REC 21'!L56</f>
        <v>0</v>
      </c>
      <c r="M56" s="189">
        <f>'REC 20'!M56+'REC 21'!M56</f>
        <v>68355000</v>
      </c>
      <c r="N56" s="188"/>
      <c r="O56" s="189">
        <f>'REC 20'!O56+'REC 21'!O56</f>
        <v>68030833</v>
      </c>
      <c r="P56" s="189">
        <f>'REC 20'!P56+'REC 21'!P56</f>
        <v>68030833</v>
      </c>
      <c r="Q56" s="189">
        <f>'REC 20'!Q56+'REC 21'!Q56</f>
        <v>54177658</v>
      </c>
      <c r="R56" s="189">
        <f>'REC 20'!R56+'REC 21'!R56</f>
        <v>54177657</v>
      </c>
      <c r="T56" s="190">
        <f aca="true" t="shared" si="9" ref="T56:T68">+M56-O56</f>
        <v>324167</v>
      </c>
      <c r="U56" s="319">
        <f aca="true" t="shared" si="10" ref="U56:W68">+O56-P56</f>
        <v>0</v>
      </c>
      <c r="V56" s="190">
        <f t="shared" si="10"/>
        <v>13853175</v>
      </c>
      <c r="W56" s="190">
        <f t="shared" si="10"/>
        <v>1</v>
      </c>
    </row>
    <row r="57" spans="1:23" s="58" customFormat="1" ht="15" customHeight="1">
      <c r="A57" s="187">
        <v>2</v>
      </c>
      <c r="B57" s="187">
        <v>0</v>
      </c>
      <c r="C57" s="187">
        <v>4</v>
      </c>
      <c r="D57" s="187">
        <v>2</v>
      </c>
      <c r="E57" s="51"/>
      <c r="F57" s="32" t="s">
        <v>36</v>
      </c>
      <c r="G57" s="189">
        <f>'REC 20'!G57+'REC 21'!G57</f>
        <v>1000000</v>
      </c>
      <c r="H57" s="161"/>
      <c r="I57" s="319">
        <f>+'REC 20'!I57+'REC 21'!I57</f>
        <v>355000</v>
      </c>
      <c r="J57" s="319">
        <f>+'REC 20'!J57+'REC 21'!J57</f>
        <v>0</v>
      </c>
      <c r="K57" s="319">
        <f>+'REC 20'!K57+'REC 21'!K57</f>
        <v>0</v>
      </c>
      <c r="L57" s="319">
        <f>+'REC 20'!L57+'REC 21'!L57</f>
        <v>0</v>
      </c>
      <c r="M57" s="189">
        <f>'REC 20'!M57+'REC 21'!M57</f>
        <v>645000</v>
      </c>
      <c r="N57" s="188"/>
      <c r="O57" s="189">
        <f>'REC 20'!O57+'REC 21'!O57</f>
        <v>645000</v>
      </c>
      <c r="P57" s="189">
        <f>'REC 20'!P57+'REC 21'!P57</f>
        <v>645000</v>
      </c>
      <c r="Q57" s="189">
        <f>'REC 20'!Q57+'REC 21'!Q57</f>
        <v>645000</v>
      </c>
      <c r="R57" s="189">
        <f>'REC 20'!R57+'REC 21'!R57</f>
        <v>645000</v>
      </c>
      <c r="S57" s="56"/>
      <c r="T57" s="190">
        <f t="shared" si="9"/>
        <v>0</v>
      </c>
      <c r="U57" s="319">
        <f t="shared" si="10"/>
        <v>0</v>
      </c>
      <c r="V57" s="319">
        <f t="shared" si="10"/>
        <v>0</v>
      </c>
      <c r="W57" s="319">
        <f t="shared" si="10"/>
        <v>0</v>
      </c>
    </row>
    <row r="58" spans="1:23" s="58" customFormat="1" ht="15" customHeight="1">
      <c r="A58" s="187">
        <v>2</v>
      </c>
      <c r="B58" s="187">
        <v>0</v>
      </c>
      <c r="C58" s="187">
        <v>4</v>
      </c>
      <c r="D58" s="187">
        <v>4</v>
      </c>
      <c r="E58" s="51"/>
      <c r="F58" s="32" t="s">
        <v>37</v>
      </c>
      <c r="G58" s="189">
        <f>'REC 20'!G58+'REC 21'!G58</f>
        <v>76500000</v>
      </c>
      <c r="H58" s="161"/>
      <c r="I58" s="319">
        <f>+'REC 20'!I58+'REC 21'!I58</f>
        <v>2859500</v>
      </c>
      <c r="J58" s="319">
        <f>+'REC 20'!J58+'REC 21'!J58</f>
        <v>0</v>
      </c>
      <c r="K58" s="319">
        <f>+'REC 20'!K58+'REC 21'!K58</f>
        <v>0</v>
      </c>
      <c r="L58" s="319">
        <f>+'REC 20'!L58+'REC 21'!L58</f>
        <v>0</v>
      </c>
      <c r="M58" s="189">
        <f>'REC 20'!M58+'REC 21'!M58</f>
        <v>73640500</v>
      </c>
      <c r="N58" s="188"/>
      <c r="O58" s="189">
        <f>'REC 20'!O58+'REC 21'!O58</f>
        <v>71985718</v>
      </c>
      <c r="P58" s="189">
        <f>'REC 20'!P58+'REC 21'!P58</f>
        <v>71985718</v>
      </c>
      <c r="Q58" s="189">
        <f>'REC 20'!Q58+'REC 21'!Q58</f>
        <v>71985718</v>
      </c>
      <c r="R58" s="189">
        <f>'REC 20'!R58+'REC 21'!R58</f>
        <v>71985718</v>
      </c>
      <c r="S58" s="56"/>
      <c r="T58" s="190">
        <f t="shared" si="9"/>
        <v>1654782</v>
      </c>
      <c r="U58" s="319">
        <f t="shared" si="10"/>
        <v>0</v>
      </c>
      <c r="V58" s="190">
        <f t="shared" si="10"/>
        <v>0</v>
      </c>
      <c r="W58" s="190">
        <f t="shared" si="10"/>
        <v>0</v>
      </c>
    </row>
    <row r="59" spans="1:23" s="58" customFormat="1" ht="15" customHeight="1">
      <c r="A59" s="187">
        <v>2</v>
      </c>
      <c r="B59" s="187">
        <v>0</v>
      </c>
      <c r="C59" s="187">
        <v>4</v>
      </c>
      <c r="D59" s="187">
        <v>5</v>
      </c>
      <c r="E59" s="51"/>
      <c r="F59" s="32" t="s">
        <v>38</v>
      </c>
      <c r="G59" s="189">
        <f>'REC 20'!G59+'REC 21'!G59</f>
        <v>509910276</v>
      </c>
      <c r="H59" s="161"/>
      <c r="I59" s="319">
        <f>+'REC 20'!I59+'REC 21'!I59</f>
        <v>0</v>
      </c>
      <c r="J59" s="319">
        <f>+'REC 20'!J59+'REC 21'!J59</f>
        <v>0</v>
      </c>
      <c r="K59" s="319">
        <f>+'REC 20'!K59+'REC 21'!K59</f>
        <v>0</v>
      </c>
      <c r="L59" s="319">
        <f>+'REC 20'!L59+'REC 21'!L59</f>
        <v>0</v>
      </c>
      <c r="M59" s="189">
        <f>'REC 20'!M59+'REC 21'!M59</f>
        <v>509910276</v>
      </c>
      <c r="N59" s="188"/>
      <c r="O59" s="189">
        <f>'REC 20'!O59+'REC 21'!O59</f>
        <v>495648484</v>
      </c>
      <c r="P59" s="189">
        <f>'REC 20'!P59+'REC 21'!P59</f>
        <v>495648484</v>
      </c>
      <c r="Q59" s="189">
        <f>'REC 20'!Q59+'REC 21'!Q59</f>
        <v>495648482</v>
      </c>
      <c r="R59" s="189">
        <f>'REC 20'!R59+'REC 21'!R59</f>
        <v>495648482</v>
      </c>
      <c r="S59" s="56"/>
      <c r="T59" s="190">
        <f t="shared" si="9"/>
        <v>14261792</v>
      </c>
      <c r="U59" s="190">
        <f t="shared" si="10"/>
        <v>0</v>
      </c>
      <c r="V59" s="190">
        <f t="shared" si="10"/>
        <v>2</v>
      </c>
      <c r="W59" s="190">
        <f t="shared" si="10"/>
        <v>0</v>
      </c>
    </row>
    <row r="60" spans="1:23" s="58" customFormat="1" ht="15" customHeight="1">
      <c r="A60" s="187">
        <v>2</v>
      </c>
      <c r="B60" s="187">
        <v>0</v>
      </c>
      <c r="C60" s="187">
        <v>4</v>
      </c>
      <c r="D60" s="187">
        <v>6</v>
      </c>
      <c r="E60" s="51"/>
      <c r="F60" s="32" t="s">
        <v>39</v>
      </c>
      <c r="G60" s="189">
        <f>'REC 20'!G60+'REC 21'!G60</f>
        <v>165364688</v>
      </c>
      <c r="H60" s="161"/>
      <c r="I60" s="319">
        <f>+'REC 20'!I60+'REC 21'!I60</f>
        <v>0</v>
      </c>
      <c r="J60" s="319">
        <f>+'REC 20'!J60+'REC 21'!J60</f>
        <v>0</v>
      </c>
      <c r="K60" s="319">
        <f>+'REC 20'!K60+'REC 21'!K60</f>
        <v>0</v>
      </c>
      <c r="L60" s="319">
        <f>+'REC 20'!L60+'REC 21'!L60</f>
        <v>0</v>
      </c>
      <c r="M60" s="189">
        <f>'REC 20'!M60+'REC 21'!M60</f>
        <v>165364688</v>
      </c>
      <c r="N60" s="188"/>
      <c r="O60" s="189">
        <f>'REC 20'!O60+'REC 21'!O60</f>
        <v>161735070</v>
      </c>
      <c r="P60" s="189">
        <f>'REC 20'!P60+'REC 21'!P60</f>
        <v>161497470</v>
      </c>
      <c r="Q60" s="189">
        <f>'REC 20'!Q60+'REC 21'!Q60</f>
        <v>156597060</v>
      </c>
      <c r="R60" s="189">
        <f>'REC 20'!R60+'REC 21'!R60</f>
        <v>156597060</v>
      </c>
      <c r="S60" s="56"/>
      <c r="T60" s="190">
        <f t="shared" si="9"/>
        <v>3629618</v>
      </c>
      <c r="U60" s="190">
        <f t="shared" si="10"/>
        <v>237600</v>
      </c>
      <c r="V60" s="190">
        <f t="shared" si="10"/>
        <v>4900410</v>
      </c>
      <c r="W60" s="319">
        <f t="shared" si="10"/>
        <v>0</v>
      </c>
    </row>
    <row r="61" spans="1:23" s="58" customFormat="1" ht="15" customHeight="1">
      <c r="A61" s="187">
        <v>2</v>
      </c>
      <c r="B61" s="187">
        <v>0</v>
      </c>
      <c r="C61" s="187">
        <v>4</v>
      </c>
      <c r="D61" s="187">
        <v>7</v>
      </c>
      <c r="E61" s="51"/>
      <c r="F61" s="32" t="s">
        <v>40</v>
      </c>
      <c r="G61" s="189">
        <f>'REC 20'!G61+'REC 21'!G61</f>
        <v>19900000</v>
      </c>
      <c r="H61" s="161"/>
      <c r="I61" s="319">
        <f>+'REC 20'!I61+'REC 21'!I61</f>
        <v>0</v>
      </c>
      <c r="J61" s="319">
        <f>+'REC 20'!J61+'REC 21'!J61</f>
        <v>0</v>
      </c>
      <c r="K61" s="319">
        <f>+'REC 20'!K61+'REC 21'!K61</f>
        <v>0</v>
      </c>
      <c r="L61" s="319">
        <f>+'REC 20'!L61+'REC 21'!L61</f>
        <v>0</v>
      </c>
      <c r="M61" s="189">
        <f>'REC 20'!M61+'REC 21'!M61</f>
        <v>19900000</v>
      </c>
      <c r="N61" s="188"/>
      <c r="O61" s="189">
        <f>'REC 20'!O61+'REC 21'!O61</f>
        <v>10147316</v>
      </c>
      <c r="P61" s="189">
        <f>'REC 20'!P61+'REC 21'!P61</f>
        <v>10147316</v>
      </c>
      <c r="Q61" s="189">
        <f>'REC 20'!Q61+'REC 21'!Q61</f>
        <v>10147316</v>
      </c>
      <c r="R61" s="189">
        <f>'REC 20'!R61+'REC 21'!R61</f>
        <v>10147316</v>
      </c>
      <c r="S61" s="56"/>
      <c r="T61" s="190">
        <f t="shared" si="9"/>
        <v>9752684</v>
      </c>
      <c r="U61" s="319">
        <f t="shared" si="10"/>
        <v>0</v>
      </c>
      <c r="V61" s="190">
        <f t="shared" si="10"/>
        <v>0</v>
      </c>
      <c r="W61" s="190">
        <f t="shared" si="10"/>
        <v>0</v>
      </c>
    </row>
    <row r="62" spans="1:23" s="58" customFormat="1" ht="15" customHeight="1">
      <c r="A62" s="187">
        <v>2</v>
      </c>
      <c r="B62" s="187">
        <v>0</v>
      </c>
      <c r="C62" s="187">
        <v>4</v>
      </c>
      <c r="D62" s="187">
        <v>8</v>
      </c>
      <c r="E62" s="51"/>
      <c r="F62" s="32" t="s">
        <v>41</v>
      </c>
      <c r="G62" s="189">
        <f>'REC 20'!G62+'REC 21'!G62</f>
        <v>270000000</v>
      </c>
      <c r="H62" s="161"/>
      <c r="I62" s="319">
        <f>+'REC 20'!I62+'REC 21'!I62</f>
        <v>0</v>
      </c>
      <c r="J62" s="319">
        <f>+'REC 20'!J62+'REC 21'!J62</f>
        <v>33000000</v>
      </c>
      <c r="K62" s="319">
        <f>+'REC 20'!K62+'REC 21'!K62</f>
        <v>0</v>
      </c>
      <c r="L62" s="319">
        <f>+'REC 20'!L62+'REC 21'!L62</f>
        <v>0</v>
      </c>
      <c r="M62" s="189">
        <f>'REC 20'!M62+'REC 21'!M62</f>
        <v>303000000</v>
      </c>
      <c r="N62" s="188"/>
      <c r="O62" s="189">
        <f>'REC 20'!O62+'REC 21'!O62</f>
        <v>302520602</v>
      </c>
      <c r="P62" s="189">
        <f>'REC 20'!P62+'REC 21'!P62</f>
        <v>302520602</v>
      </c>
      <c r="Q62" s="189">
        <f>'REC 20'!Q62+'REC 21'!Q62</f>
        <v>302520602</v>
      </c>
      <c r="R62" s="189">
        <f>'REC 20'!R62+'REC 21'!R62</f>
        <v>293254395</v>
      </c>
      <c r="S62" s="56"/>
      <c r="T62" s="190">
        <f t="shared" si="9"/>
        <v>479398</v>
      </c>
      <c r="U62" s="319">
        <f t="shared" si="10"/>
        <v>0</v>
      </c>
      <c r="V62" s="319">
        <f t="shared" si="10"/>
        <v>0</v>
      </c>
      <c r="W62" s="319">
        <f t="shared" si="10"/>
        <v>9266207</v>
      </c>
    </row>
    <row r="63" spans="1:23" s="58" customFormat="1" ht="15" customHeight="1">
      <c r="A63" s="187">
        <v>2</v>
      </c>
      <c r="B63" s="187">
        <v>0</v>
      </c>
      <c r="C63" s="187">
        <v>4</v>
      </c>
      <c r="D63" s="187">
        <v>9</v>
      </c>
      <c r="E63" s="51"/>
      <c r="F63" s="32" t="s">
        <v>42</v>
      </c>
      <c r="G63" s="189">
        <f>'REC 20'!G63+'REC 21'!G63</f>
        <v>40550000</v>
      </c>
      <c r="H63" s="161"/>
      <c r="I63" s="319">
        <f>+'REC 20'!I63+'REC 21'!I63</f>
        <v>0</v>
      </c>
      <c r="J63" s="319">
        <f>+'REC 20'!J63+'REC 21'!J63</f>
        <v>0</v>
      </c>
      <c r="K63" s="319">
        <f>+'REC 20'!K63+'REC 21'!K63</f>
        <v>0</v>
      </c>
      <c r="L63" s="319">
        <f>+'REC 20'!L63+'REC 21'!L63</f>
        <v>0</v>
      </c>
      <c r="M63" s="189">
        <f>'REC 20'!M63+'REC 21'!M63</f>
        <v>40550000</v>
      </c>
      <c r="N63" s="188"/>
      <c r="O63" s="189">
        <f>'REC 20'!O63+'REC 21'!O63</f>
        <v>31597571</v>
      </c>
      <c r="P63" s="189">
        <f>'REC 20'!P63+'REC 21'!P63</f>
        <v>31597571</v>
      </c>
      <c r="Q63" s="189">
        <f>'REC 20'!Q63+'REC 21'!Q63</f>
        <v>31597571</v>
      </c>
      <c r="R63" s="189">
        <f>'REC 20'!R63+'REC 21'!R63</f>
        <v>31597571</v>
      </c>
      <c r="S63" s="56"/>
      <c r="T63" s="190">
        <f t="shared" si="9"/>
        <v>8952429</v>
      </c>
      <c r="U63" s="190">
        <f t="shared" si="10"/>
        <v>0</v>
      </c>
      <c r="V63" s="319">
        <f t="shared" si="10"/>
        <v>0</v>
      </c>
      <c r="W63" s="319">
        <f t="shared" si="10"/>
        <v>0</v>
      </c>
    </row>
    <row r="64" spans="1:23" s="58" customFormat="1" ht="15" customHeight="1">
      <c r="A64" s="187">
        <v>2</v>
      </c>
      <c r="B64" s="187">
        <v>0</v>
      </c>
      <c r="C64" s="187">
        <v>4</v>
      </c>
      <c r="D64" s="187">
        <v>11</v>
      </c>
      <c r="E64" s="51"/>
      <c r="F64" s="32" t="s">
        <v>44</v>
      </c>
      <c r="G64" s="189">
        <f>'REC 20'!G64+'REC 21'!G64</f>
        <v>250000000</v>
      </c>
      <c r="H64" s="161"/>
      <c r="I64" s="319">
        <f>+'REC 20'!I65+'REC 21'!I65</f>
        <v>0</v>
      </c>
      <c r="J64" s="319">
        <f>+'REC 20'!J65+'REC 21'!J65</f>
        <v>0</v>
      </c>
      <c r="K64" s="319">
        <f>+'REC 20'!K65+'REC 21'!K65</f>
        <v>0</v>
      </c>
      <c r="L64" s="319">
        <f>+'REC 20'!L65+'REC 21'!L65</f>
        <v>0</v>
      </c>
      <c r="M64" s="189">
        <f>'REC 20'!M64+'REC 21'!M64</f>
        <v>250000000</v>
      </c>
      <c r="N64" s="188"/>
      <c r="O64" s="189">
        <f>'REC 20'!O64+'REC 21'!O65</f>
        <v>205548326</v>
      </c>
      <c r="P64" s="189">
        <f>'REC 20'!P64+'REC 21'!P65</f>
        <v>197845681</v>
      </c>
      <c r="Q64" s="189">
        <f>'REC 20'!Q64+'REC 21'!Q65</f>
        <v>197845681</v>
      </c>
      <c r="R64" s="189">
        <f>'REC 20'!R64+'REC 21'!R65</f>
        <v>197845681</v>
      </c>
      <c r="S64" s="56"/>
      <c r="T64" s="190">
        <f t="shared" si="9"/>
        <v>44451674</v>
      </c>
      <c r="U64" s="190">
        <f t="shared" si="10"/>
        <v>7702645</v>
      </c>
      <c r="V64" s="190">
        <f t="shared" si="10"/>
        <v>0</v>
      </c>
      <c r="W64" s="190">
        <f t="shared" si="10"/>
        <v>0</v>
      </c>
    </row>
    <row r="65" spans="1:23" ht="15" customHeight="1">
      <c r="A65" s="187">
        <v>2</v>
      </c>
      <c r="B65" s="187">
        <v>0</v>
      </c>
      <c r="C65" s="187">
        <v>4</v>
      </c>
      <c r="D65" s="187">
        <v>13</v>
      </c>
      <c r="E65" s="187"/>
      <c r="F65" s="32" t="s">
        <v>45</v>
      </c>
      <c r="G65" s="189">
        <f>'REC 20'!G65+'REC 21'!G65</f>
        <v>35000000</v>
      </c>
      <c r="H65" s="161"/>
      <c r="I65" s="319">
        <f>+'REC 20'!I66+'REC 21'!I66</f>
        <v>0</v>
      </c>
      <c r="J65" s="319">
        <f>+'REC 20'!J66+'REC 21'!J66</f>
        <v>0</v>
      </c>
      <c r="K65" s="319">
        <f>+'REC 20'!K66+'REC 21'!K66</f>
        <v>0</v>
      </c>
      <c r="L65" s="319">
        <f>+'REC 20'!L66+'REC 21'!L66</f>
        <v>0</v>
      </c>
      <c r="M65" s="189">
        <f>'REC 20'!M65+'REC 21'!M65</f>
        <v>35000000</v>
      </c>
      <c r="N65" s="188"/>
      <c r="O65" s="189">
        <f>'REC 20'!O65+'REC 21'!O66</f>
        <v>31652840</v>
      </c>
      <c r="P65" s="189">
        <f>'REC 20'!P65+'REC 21'!P66</f>
        <v>31562840</v>
      </c>
      <c r="Q65" s="189">
        <f>'REC 20'!Q65+'REC 21'!Q66</f>
        <v>31652840</v>
      </c>
      <c r="R65" s="189">
        <f>'REC 20'!R65+'REC 21'!R66</f>
        <v>31652840</v>
      </c>
      <c r="T65" s="190">
        <f t="shared" si="9"/>
        <v>3347160</v>
      </c>
      <c r="U65" s="319">
        <f t="shared" si="10"/>
        <v>90000</v>
      </c>
      <c r="V65" s="190">
        <f t="shared" si="10"/>
        <v>-90000</v>
      </c>
      <c r="W65" s="190">
        <f t="shared" si="10"/>
        <v>0</v>
      </c>
    </row>
    <row r="66" spans="1:23" s="58" customFormat="1" ht="15" customHeight="1">
      <c r="A66" s="187">
        <v>2</v>
      </c>
      <c r="B66" s="187">
        <v>0</v>
      </c>
      <c r="C66" s="187">
        <v>4</v>
      </c>
      <c r="D66" s="187">
        <v>21</v>
      </c>
      <c r="E66" s="51"/>
      <c r="F66" s="192" t="s">
        <v>70</v>
      </c>
      <c r="G66" s="189">
        <f>'REC 20'!G67+'REC 21'!G68</f>
        <v>65000000</v>
      </c>
      <c r="H66" s="161"/>
      <c r="I66" s="319">
        <f>+'REC 20'!I68+'REC 21'!I68</f>
        <v>0</v>
      </c>
      <c r="J66" s="319">
        <f>+'REC 20'!J68+'REC 21'!J68</f>
        <v>0</v>
      </c>
      <c r="K66" s="319">
        <f>+'REC 20'!K68+'REC 21'!K68</f>
        <v>0</v>
      </c>
      <c r="L66" s="319">
        <f>+'REC 20'!L68+'REC 21'!L68</f>
        <v>0</v>
      </c>
      <c r="M66" s="189">
        <f>'REC 20'!M67+'REC 21'!M68</f>
        <v>65000000</v>
      </c>
      <c r="N66" s="188"/>
      <c r="O66" s="189">
        <f>'REC 20'!O67+'REC 21'!O68</f>
        <v>62609137</v>
      </c>
      <c r="P66" s="189">
        <f>'REC 20'!P67+'REC 21'!P68</f>
        <v>62609137</v>
      </c>
      <c r="Q66" s="189">
        <f>'REC 20'!Q67+'REC 21'!Q68</f>
        <v>62609137</v>
      </c>
      <c r="R66" s="189">
        <f>'REC 20'!R67+'REC 21'!R68</f>
        <v>62609137</v>
      </c>
      <c r="S66" s="56"/>
      <c r="T66" s="190">
        <f t="shared" si="9"/>
        <v>2390863</v>
      </c>
      <c r="U66" s="319">
        <f t="shared" si="10"/>
        <v>0</v>
      </c>
      <c r="V66" s="190">
        <f t="shared" si="10"/>
        <v>0</v>
      </c>
      <c r="W66" s="190">
        <f t="shared" si="10"/>
        <v>0</v>
      </c>
    </row>
    <row r="67" spans="1:23" s="58" customFormat="1" ht="15" customHeight="1">
      <c r="A67" s="187">
        <v>2</v>
      </c>
      <c r="B67" s="187">
        <v>0</v>
      </c>
      <c r="C67" s="187">
        <v>4</v>
      </c>
      <c r="D67" s="187">
        <v>40</v>
      </c>
      <c r="E67" s="51"/>
      <c r="F67" s="32" t="s">
        <v>47</v>
      </c>
      <c r="G67" s="189">
        <f>'REC 20'!G68+'REC 21'!G69</f>
        <v>4500000</v>
      </c>
      <c r="H67" s="161"/>
      <c r="I67" s="319">
        <f>+'REC 20'!I69+'REC 21'!I69</f>
        <v>0</v>
      </c>
      <c r="J67" s="319">
        <f>+'REC 20'!J69+'REC 21'!J69</f>
        <v>0</v>
      </c>
      <c r="K67" s="319">
        <f>+'REC 20'!K69+'REC 21'!K69</f>
        <v>0</v>
      </c>
      <c r="L67" s="319">
        <f>+'REC 20'!L69+'REC 21'!L69</f>
        <v>0</v>
      </c>
      <c r="M67" s="189">
        <f>'REC 20'!M68+'REC 21'!M69</f>
        <v>4500000</v>
      </c>
      <c r="N67" s="188"/>
      <c r="O67" s="189">
        <f>'REC 20'!O68+'REC 21'!O69</f>
        <v>1702900</v>
      </c>
      <c r="P67" s="189">
        <f>'REC 20'!P68+'REC 21'!P69</f>
        <v>804160</v>
      </c>
      <c r="Q67" s="189">
        <f>'REC 20'!Q68+'REC 21'!Q69</f>
        <v>804160</v>
      </c>
      <c r="R67" s="189">
        <f>'REC 20'!R68+'REC 21'!R69</f>
        <v>804160</v>
      </c>
      <c r="S67" s="56"/>
      <c r="T67" s="190">
        <f t="shared" si="9"/>
        <v>2797100</v>
      </c>
      <c r="U67" s="190">
        <f t="shared" si="10"/>
        <v>898740</v>
      </c>
      <c r="V67" s="319">
        <f t="shared" si="10"/>
        <v>0</v>
      </c>
      <c r="W67" s="319">
        <f t="shared" si="10"/>
        <v>0</v>
      </c>
    </row>
    <row r="68" spans="1:23" s="58" customFormat="1" ht="15" customHeight="1">
      <c r="A68" s="187">
        <v>2</v>
      </c>
      <c r="B68" s="187">
        <v>0</v>
      </c>
      <c r="C68" s="187">
        <v>4</v>
      </c>
      <c r="D68" s="187">
        <v>41</v>
      </c>
      <c r="E68" s="51"/>
      <c r="F68" s="32" t="s">
        <v>48</v>
      </c>
      <c r="G68" s="189">
        <f>'REC 20'!G69+'REC 21'!G70</f>
        <v>170385436</v>
      </c>
      <c r="H68" s="161"/>
      <c r="I68" s="319">
        <f>+'REC 20'!I70+'REC 21'!I70</f>
        <v>0</v>
      </c>
      <c r="J68" s="319">
        <f>+'REC 20'!J70+'REC 21'!J70</f>
        <v>0</v>
      </c>
      <c r="K68" s="319">
        <f>+'REC 20'!K70+'REC 21'!K70</f>
        <v>0</v>
      </c>
      <c r="L68" s="319">
        <f>+'REC 20'!L70+'REC 21'!L70</f>
        <v>0</v>
      </c>
      <c r="M68" s="189">
        <f>'REC 20'!M69+'REC 21'!M70</f>
        <v>170385436</v>
      </c>
      <c r="N68" s="188"/>
      <c r="O68" s="189">
        <f>'REC 20'!O69+'REC 21'!O70</f>
        <v>164865706</v>
      </c>
      <c r="P68" s="189">
        <f>'REC 20'!P69+'REC 21'!P70</f>
        <v>164009576</v>
      </c>
      <c r="Q68" s="189">
        <f>'REC 20'!Q69+'REC 21'!Q70</f>
        <v>164009576</v>
      </c>
      <c r="R68" s="189">
        <f>'REC 20'!R69+'REC 21'!R70</f>
        <v>164009576</v>
      </c>
      <c r="S68" s="56"/>
      <c r="T68" s="190">
        <f t="shared" si="9"/>
        <v>5519730</v>
      </c>
      <c r="U68" s="190">
        <f t="shared" si="10"/>
        <v>856130</v>
      </c>
      <c r="V68" s="190">
        <f t="shared" si="10"/>
        <v>0</v>
      </c>
      <c r="W68" s="190">
        <f t="shared" si="10"/>
        <v>0</v>
      </c>
    </row>
    <row r="69" spans="1:23" s="58" customFormat="1" ht="15" customHeight="1">
      <c r="A69" s="187"/>
      <c r="B69" s="187"/>
      <c r="C69" s="187"/>
      <c r="D69" s="187"/>
      <c r="E69" s="51"/>
      <c r="F69" s="32"/>
      <c r="G69" s="189"/>
      <c r="H69" s="161"/>
      <c r="I69" s="189"/>
      <c r="J69" s="189"/>
      <c r="K69" s="189"/>
      <c r="L69" s="189"/>
      <c r="M69" s="189"/>
      <c r="N69" s="188"/>
      <c r="O69" s="189"/>
      <c r="P69" s="189"/>
      <c r="Q69" s="189"/>
      <c r="R69" s="189"/>
      <c r="S69" s="56"/>
      <c r="T69" s="190"/>
      <c r="U69" s="190"/>
      <c r="V69" s="190"/>
      <c r="W69" s="190"/>
    </row>
    <row r="70" spans="1:23" s="58" customFormat="1" ht="15" customHeight="1">
      <c r="A70" s="51">
        <v>3</v>
      </c>
      <c r="B70" s="51"/>
      <c r="C70" s="51"/>
      <c r="D70" s="51"/>
      <c r="E70" s="51"/>
      <c r="F70" s="49" t="s">
        <v>79</v>
      </c>
      <c r="G70" s="50">
        <f>+G71+G75+G78</f>
        <v>607000000</v>
      </c>
      <c r="H70" s="54"/>
      <c r="I70" s="50">
        <f>+I71+I75+I78</f>
        <v>33000000</v>
      </c>
      <c r="J70" s="50">
        <f>+J71+J75+J78</f>
        <v>0</v>
      </c>
      <c r="K70" s="50">
        <f>+K71+K75+K78</f>
        <v>0</v>
      </c>
      <c r="L70" s="50">
        <f>+L71+L75+L78</f>
        <v>0</v>
      </c>
      <c r="M70" s="50">
        <f>+M71+M75+M78</f>
        <v>574000000</v>
      </c>
      <c r="N70" s="186"/>
      <c r="O70" s="50">
        <f>+O71+O75+O78</f>
        <v>565360137</v>
      </c>
      <c r="P70" s="50">
        <f>+P71+P75+P78</f>
        <v>565360137</v>
      </c>
      <c r="Q70" s="50">
        <f>+Q71+Q75+Q78</f>
        <v>565360137</v>
      </c>
      <c r="R70" s="50">
        <f>+R71+R75+R78</f>
        <v>565360137</v>
      </c>
      <c r="S70" s="56"/>
      <c r="T70" s="57">
        <f>+M70-O70</f>
        <v>8639863</v>
      </c>
      <c r="U70" s="57">
        <f aca="true" t="shared" si="11" ref="U70:W82">+O70-P70</f>
        <v>0</v>
      </c>
      <c r="V70" s="57">
        <f t="shared" si="11"/>
        <v>0</v>
      </c>
      <c r="W70" s="57">
        <f t="shared" si="11"/>
        <v>0</v>
      </c>
    </row>
    <row r="71" spans="1:24" s="58" customFormat="1" ht="15" customHeight="1">
      <c r="A71" s="187">
        <v>3</v>
      </c>
      <c r="B71" s="187">
        <v>2</v>
      </c>
      <c r="C71" s="187"/>
      <c r="D71" s="187"/>
      <c r="E71" s="51"/>
      <c r="F71" s="192" t="s">
        <v>80</v>
      </c>
      <c r="G71" s="189">
        <f>'REC 20'!G72</f>
        <v>18000000</v>
      </c>
      <c r="H71" s="161"/>
      <c r="I71" s="319">
        <f>'REC 20'!I72</f>
        <v>0</v>
      </c>
      <c r="J71" s="319">
        <f>'REC 20'!J72</f>
        <v>0</v>
      </c>
      <c r="K71" s="319">
        <f>'REC 20'!K72</f>
        <v>0</v>
      </c>
      <c r="L71" s="319">
        <f>'REC 20'!L72</f>
        <v>0</v>
      </c>
      <c r="M71" s="189">
        <f>'REC 20'!M72</f>
        <v>18000000</v>
      </c>
      <c r="N71" s="55"/>
      <c r="O71" s="319">
        <f>'REC 20'!O72</f>
        <v>15360137</v>
      </c>
      <c r="P71" s="319">
        <f>'REC 20'!P72</f>
        <v>15360137</v>
      </c>
      <c r="Q71" s="319">
        <f>'REC 20'!Q72</f>
        <v>15360137</v>
      </c>
      <c r="R71" s="319">
        <f>'REC 20'!R72</f>
        <v>15360137</v>
      </c>
      <c r="S71" s="56"/>
      <c r="T71" s="190">
        <f>+M71-O71</f>
        <v>2639863</v>
      </c>
      <c r="U71" s="319">
        <f t="shared" si="11"/>
        <v>0</v>
      </c>
      <c r="V71" s="319">
        <f t="shared" si="11"/>
        <v>0</v>
      </c>
      <c r="W71" s="319">
        <f t="shared" si="11"/>
        <v>0</v>
      </c>
      <c r="X71" s="193"/>
    </row>
    <row r="72" spans="1:23" s="58" customFormat="1" ht="15" customHeight="1">
      <c r="A72" s="187">
        <v>3</v>
      </c>
      <c r="B72" s="187">
        <v>2</v>
      </c>
      <c r="C72" s="187">
        <v>1</v>
      </c>
      <c r="D72" s="187"/>
      <c r="E72" s="51"/>
      <c r="F72" s="192" t="s">
        <v>81</v>
      </c>
      <c r="G72" s="189">
        <f>'REC 20'!G73</f>
        <v>18000000</v>
      </c>
      <c r="H72" s="161"/>
      <c r="I72" s="319">
        <f>'REC 20'!I73</f>
        <v>0</v>
      </c>
      <c r="J72" s="319">
        <f>'REC 20'!J73</f>
        <v>0</v>
      </c>
      <c r="K72" s="319">
        <f>'REC 20'!K73</f>
        <v>0</v>
      </c>
      <c r="L72" s="319">
        <f>'REC 20'!L73</f>
        <v>0</v>
      </c>
      <c r="M72" s="189">
        <f>'REC 20'!M73</f>
        <v>18000000</v>
      </c>
      <c r="N72" s="55"/>
      <c r="O72" s="319">
        <f>'REC 20'!O73</f>
        <v>15360137</v>
      </c>
      <c r="P72" s="319">
        <f>'REC 20'!P73</f>
        <v>15360137</v>
      </c>
      <c r="Q72" s="319">
        <f>'REC 20'!Q73</f>
        <v>15360137</v>
      </c>
      <c r="R72" s="319">
        <f>'REC 20'!R73</f>
        <v>15360137</v>
      </c>
      <c r="S72" s="56"/>
      <c r="T72" s="190">
        <f aca="true" t="shared" si="12" ref="T72:T83">+M72-O72</f>
        <v>2639863</v>
      </c>
      <c r="U72" s="319">
        <f t="shared" si="11"/>
        <v>0</v>
      </c>
      <c r="V72" s="319">
        <f t="shared" si="11"/>
        <v>0</v>
      </c>
      <c r="W72" s="319">
        <f t="shared" si="11"/>
        <v>0</v>
      </c>
    </row>
    <row r="73" spans="1:23" s="58" customFormat="1" ht="15" customHeight="1">
      <c r="A73" s="187">
        <v>3</v>
      </c>
      <c r="B73" s="187">
        <v>2</v>
      </c>
      <c r="C73" s="187">
        <v>1</v>
      </c>
      <c r="D73" s="187">
        <v>1</v>
      </c>
      <c r="E73" s="187">
        <v>20</v>
      </c>
      <c r="F73" s="192" t="s">
        <v>82</v>
      </c>
      <c r="G73" s="189">
        <f>'REC 20'!G74</f>
        <v>18000000</v>
      </c>
      <c r="H73" s="161"/>
      <c r="I73" s="319">
        <f>'REC 20'!I74</f>
        <v>0</v>
      </c>
      <c r="J73" s="319">
        <f>'REC 20'!J74</f>
        <v>0</v>
      </c>
      <c r="K73" s="319">
        <f>'REC 20'!K74</f>
        <v>0</v>
      </c>
      <c r="L73" s="319">
        <f>'REC 20'!L74</f>
        <v>0</v>
      </c>
      <c r="M73" s="189">
        <f>'REC 20'!M74</f>
        <v>18000000</v>
      </c>
      <c r="N73" s="55"/>
      <c r="O73" s="319">
        <f>+'REC 20'!O74</f>
        <v>15360137</v>
      </c>
      <c r="P73" s="319">
        <f>+'REC 20'!P74</f>
        <v>15360137</v>
      </c>
      <c r="Q73" s="319">
        <f>'REC 20'!Q74</f>
        <v>15360137</v>
      </c>
      <c r="R73" s="319">
        <f>'REC 20'!R74</f>
        <v>15360137</v>
      </c>
      <c r="S73" s="56"/>
      <c r="T73" s="190">
        <f t="shared" si="12"/>
        <v>2639863</v>
      </c>
      <c r="U73" s="319">
        <f t="shared" si="11"/>
        <v>0</v>
      </c>
      <c r="V73" s="319">
        <f t="shared" si="11"/>
        <v>0</v>
      </c>
      <c r="W73" s="319">
        <f t="shared" si="11"/>
        <v>0</v>
      </c>
    </row>
    <row r="74" spans="1:23" s="58" customFormat="1" ht="10.5" customHeight="1">
      <c r="A74" s="187"/>
      <c r="B74" s="187"/>
      <c r="C74" s="187"/>
      <c r="D74" s="187"/>
      <c r="E74" s="51"/>
      <c r="F74" s="192"/>
      <c r="G74" s="189"/>
      <c r="H74" s="161"/>
      <c r="I74" s="55"/>
      <c r="J74" s="55"/>
      <c r="K74" s="55"/>
      <c r="L74" s="55"/>
      <c r="M74" s="189"/>
      <c r="N74" s="55"/>
      <c r="O74" s="191"/>
      <c r="P74" s="191"/>
      <c r="Q74" s="191"/>
      <c r="R74" s="191"/>
      <c r="S74" s="56"/>
      <c r="T74" s="190"/>
      <c r="U74" s="319">
        <f t="shared" si="11"/>
        <v>0</v>
      </c>
      <c r="V74" s="319">
        <f t="shared" si="11"/>
        <v>0</v>
      </c>
      <c r="W74" s="319">
        <f t="shared" si="11"/>
        <v>0</v>
      </c>
    </row>
    <row r="75" spans="1:23" s="58" customFormat="1" ht="15" customHeight="1">
      <c r="A75" s="187">
        <v>3</v>
      </c>
      <c r="B75" s="187">
        <v>6</v>
      </c>
      <c r="C75" s="187"/>
      <c r="D75" s="187"/>
      <c r="E75" s="51"/>
      <c r="F75" s="192" t="s">
        <v>83</v>
      </c>
      <c r="G75" s="189">
        <f>'REC 20'!G76</f>
        <v>209000000</v>
      </c>
      <c r="H75" s="161"/>
      <c r="I75" s="319">
        <f>'REC 20'!I76</f>
        <v>0</v>
      </c>
      <c r="J75" s="319">
        <f>'REC 20'!J76</f>
        <v>0</v>
      </c>
      <c r="K75" s="319">
        <f>'REC 20'!K76</f>
        <v>0</v>
      </c>
      <c r="L75" s="319">
        <f>'REC 20'!L76</f>
        <v>0</v>
      </c>
      <c r="M75" s="189">
        <f>'REC 20'!M76</f>
        <v>209000000</v>
      </c>
      <c r="N75" s="55"/>
      <c r="O75" s="189">
        <f>'REC 20'!O76</f>
        <v>209000000</v>
      </c>
      <c r="P75" s="189">
        <f>'REC 20'!P76</f>
        <v>209000000</v>
      </c>
      <c r="Q75" s="189">
        <f>'REC 20'!Q76</f>
        <v>209000000</v>
      </c>
      <c r="R75" s="189">
        <f>'REC 20'!R76</f>
        <v>209000000</v>
      </c>
      <c r="S75" s="56"/>
      <c r="T75" s="319">
        <f t="shared" si="12"/>
        <v>0</v>
      </c>
      <c r="U75" s="319">
        <f t="shared" si="11"/>
        <v>0</v>
      </c>
      <c r="V75" s="319">
        <f t="shared" si="11"/>
        <v>0</v>
      </c>
      <c r="W75" s="319">
        <f t="shared" si="11"/>
        <v>0</v>
      </c>
    </row>
    <row r="76" spans="1:23" s="58" customFormat="1" ht="15" customHeight="1">
      <c r="A76" s="187">
        <v>3</v>
      </c>
      <c r="B76" s="187">
        <v>6</v>
      </c>
      <c r="C76" s="187">
        <v>1</v>
      </c>
      <c r="D76" s="187"/>
      <c r="E76" s="51"/>
      <c r="F76" s="192" t="s">
        <v>84</v>
      </c>
      <c r="G76" s="189">
        <f>'REC 20'!G77</f>
        <v>209000000</v>
      </c>
      <c r="H76" s="161"/>
      <c r="I76" s="319">
        <f>'REC 20'!I77</f>
        <v>0</v>
      </c>
      <c r="J76" s="319">
        <f>'REC 20'!J77</f>
        <v>0</v>
      </c>
      <c r="K76" s="319">
        <f>'REC 20'!K77</f>
        <v>0</v>
      </c>
      <c r="L76" s="319">
        <f>'REC 20'!L77</f>
        <v>0</v>
      </c>
      <c r="M76" s="189">
        <f>'REC 20'!M77</f>
        <v>209000000</v>
      </c>
      <c r="N76" s="55"/>
      <c r="O76" s="189">
        <f>'REC 20'!O77</f>
        <v>209000000</v>
      </c>
      <c r="P76" s="189">
        <f>'REC 20'!P77</f>
        <v>209000000</v>
      </c>
      <c r="Q76" s="189">
        <f>'REC 20'!Q77</f>
        <v>209000000</v>
      </c>
      <c r="R76" s="189">
        <f>'REC 20'!R77</f>
        <v>209000000</v>
      </c>
      <c r="S76" s="56"/>
      <c r="T76" s="319">
        <f t="shared" si="12"/>
        <v>0</v>
      </c>
      <c r="U76" s="319">
        <f t="shared" si="11"/>
        <v>0</v>
      </c>
      <c r="V76" s="319">
        <f t="shared" si="11"/>
        <v>0</v>
      </c>
      <c r="W76" s="319">
        <f t="shared" si="11"/>
        <v>0</v>
      </c>
    </row>
    <row r="77" spans="1:23" s="58" customFormat="1" ht="15" customHeight="1">
      <c r="A77" s="187">
        <v>3</v>
      </c>
      <c r="B77" s="187">
        <v>6</v>
      </c>
      <c r="C77" s="187">
        <v>1</v>
      </c>
      <c r="D77" s="187">
        <v>1</v>
      </c>
      <c r="E77" s="187">
        <v>20</v>
      </c>
      <c r="F77" s="192" t="s">
        <v>84</v>
      </c>
      <c r="G77" s="189">
        <f>'REC 20'!G78</f>
        <v>209000000</v>
      </c>
      <c r="H77" s="161"/>
      <c r="I77" s="319">
        <f>'REC 20'!I78</f>
        <v>0</v>
      </c>
      <c r="J77" s="319">
        <f>'REC 20'!J78</f>
        <v>0</v>
      </c>
      <c r="K77" s="319">
        <f>'REC 20'!K78</f>
        <v>0</v>
      </c>
      <c r="L77" s="319">
        <f>'REC 20'!L78</f>
        <v>0</v>
      </c>
      <c r="M77" s="189">
        <f>'REC 20'!M78</f>
        <v>209000000</v>
      </c>
      <c r="N77" s="55"/>
      <c r="O77" s="189">
        <f>'REC 20'!O78</f>
        <v>209000000</v>
      </c>
      <c r="P77" s="189">
        <f>'REC 20'!P78</f>
        <v>209000000</v>
      </c>
      <c r="Q77" s="189">
        <f>'REC 20'!Q78</f>
        <v>209000000</v>
      </c>
      <c r="R77" s="189">
        <f>'REC 20'!R78</f>
        <v>209000000</v>
      </c>
      <c r="S77" s="56"/>
      <c r="T77" s="319">
        <f t="shared" si="12"/>
        <v>0</v>
      </c>
      <c r="U77" s="319">
        <f t="shared" si="11"/>
        <v>0</v>
      </c>
      <c r="V77" s="319">
        <f t="shared" si="11"/>
        <v>0</v>
      </c>
      <c r="W77" s="319">
        <f t="shared" si="11"/>
        <v>0</v>
      </c>
    </row>
    <row r="78" spans="1:23" s="58" customFormat="1" ht="15" customHeight="1">
      <c r="A78" s="187">
        <v>3</v>
      </c>
      <c r="B78" s="187">
        <v>6</v>
      </c>
      <c r="C78" s="187">
        <v>1</v>
      </c>
      <c r="D78" s="187">
        <v>1</v>
      </c>
      <c r="E78" s="187">
        <v>21</v>
      </c>
      <c r="F78" s="192" t="s">
        <v>84</v>
      </c>
      <c r="G78" s="189">
        <f>'REC 20'!G79</f>
        <v>380000000</v>
      </c>
      <c r="H78" s="161"/>
      <c r="I78" s="319">
        <f>'REC 20'!I79</f>
        <v>33000000</v>
      </c>
      <c r="J78" s="319">
        <f>'REC 20'!J79</f>
        <v>0</v>
      </c>
      <c r="K78" s="319">
        <f>'REC 20'!K79</f>
        <v>0</v>
      </c>
      <c r="L78" s="319">
        <f>'REC 20'!L79</f>
        <v>0</v>
      </c>
      <c r="M78" s="189">
        <f>'REC 20'!M79</f>
        <v>347000000</v>
      </c>
      <c r="N78" s="55"/>
      <c r="O78" s="189">
        <f>'REC 20'!O79</f>
        <v>341000000</v>
      </c>
      <c r="P78" s="189">
        <f>'REC 20'!P79</f>
        <v>341000000</v>
      </c>
      <c r="Q78" s="189">
        <f>'REC 20'!Q79</f>
        <v>341000000</v>
      </c>
      <c r="R78" s="189">
        <f>'REC 20'!R79</f>
        <v>341000000</v>
      </c>
      <c r="S78" s="56"/>
      <c r="T78" s="190">
        <f t="shared" si="12"/>
        <v>6000000</v>
      </c>
      <c r="U78" s="319">
        <f t="shared" si="11"/>
        <v>0</v>
      </c>
      <c r="V78" s="319">
        <f t="shared" si="11"/>
        <v>0</v>
      </c>
      <c r="W78" s="319">
        <f t="shared" si="11"/>
        <v>0</v>
      </c>
    </row>
    <row r="79" spans="1:23" s="58" customFormat="1" ht="12">
      <c r="A79" s="187"/>
      <c r="B79" s="187"/>
      <c r="C79" s="187"/>
      <c r="D79" s="187"/>
      <c r="E79" s="187"/>
      <c r="F79" s="192"/>
      <c r="G79" s="189"/>
      <c r="H79" s="161"/>
      <c r="I79" s="55"/>
      <c r="J79" s="55"/>
      <c r="K79" s="55"/>
      <c r="L79" s="55"/>
      <c r="M79" s="189"/>
      <c r="N79" s="55"/>
      <c r="O79" s="191"/>
      <c r="P79" s="191"/>
      <c r="Q79" s="191"/>
      <c r="R79" s="191"/>
      <c r="S79" s="56"/>
      <c r="T79" s="190"/>
      <c r="U79" s="190"/>
      <c r="V79" s="190"/>
      <c r="W79" s="190"/>
    </row>
    <row r="80" spans="1:23" s="58" customFormat="1" ht="12">
      <c r="A80" s="51"/>
      <c r="B80" s="51"/>
      <c r="C80" s="51"/>
      <c r="D80" s="51"/>
      <c r="E80" s="51"/>
      <c r="F80" s="52" t="s">
        <v>85</v>
      </c>
      <c r="G80" s="53">
        <f>'REC 20'!G81</f>
        <v>1290845000</v>
      </c>
      <c r="H80" s="54"/>
      <c r="I80" s="53">
        <f>'REC 20'!I81</f>
        <v>0</v>
      </c>
      <c r="J80" s="53">
        <f>'REC 20'!J81</f>
        <v>0</v>
      </c>
      <c r="K80" s="53">
        <f>'REC 20'!K81</f>
        <v>100000000</v>
      </c>
      <c r="L80" s="53">
        <f>'REC 20'!L81</f>
        <v>0</v>
      </c>
      <c r="M80" s="53">
        <f>'REC 20'!M81</f>
        <v>1190845000</v>
      </c>
      <c r="N80" s="55"/>
      <c r="O80" s="53">
        <f>'REC 20'!O81</f>
        <v>1052567774</v>
      </c>
      <c r="P80" s="53">
        <f>'REC 20'!P81</f>
        <v>1052567774</v>
      </c>
      <c r="Q80" s="53">
        <f>'REC 20'!Q81</f>
        <v>872783011</v>
      </c>
      <c r="R80" s="53">
        <f>'REC 20'!R81</f>
        <v>766989611</v>
      </c>
      <c r="S80" s="56"/>
      <c r="T80" s="57">
        <f t="shared" si="12"/>
        <v>138277226</v>
      </c>
      <c r="U80" s="57">
        <f t="shared" si="11"/>
        <v>0</v>
      </c>
      <c r="V80" s="57">
        <f aca="true" t="shared" si="13" ref="V80:V87">+P80-Q80</f>
        <v>179784763</v>
      </c>
      <c r="W80" s="57">
        <f t="shared" si="11"/>
        <v>105793400</v>
      </c>
    </row>
    <row r="81" spans="1:24" s="58" customFormat="1" ht="15" customHeight="1">
      <c r="A81" s="161"/>
      <c r="B81" s="161"/>
      <c r="C81" s="161"/>
      <c r="D81" s="161"/>
      <c r="E81" s="161"/>
      <c r="F81" s="161"/>
      <c r="G81" s="189"/>
      <c r="H81" s="161"/>
      <c r="I81" s="189"/>
      <c r="J81" s="189"/>
      <c r="K81" s="189"/>
      <c r="L81" s="189"/>
      <c r="M81" s="189"/>
      <c r="N81" s="55"/>
      <c r="O81" s="189"/>
      <c r="P81" s="189"/>
      <c r="Q81" s="189"/>
      <c r="R81" s="189"/>
      <c r="S81" s="56"/>
      <c r="T81" s="319">
        <f t="shared" si="12"/>
        <v>0</v>
      </c>
      <c r="U81" s="319">
        <f t="shared" si="11"/>
        <v>0</v>
      </c>
      <c r="V81" s="319">
        <f t="shared" si="13"/>
        <v>0</v>
      </c>
      <c r="W81" s="319">
        <f t="shared" si="11"/>
        <v>0</v>
      </c>
      <c r="X81" s="193"/>
    </row>
    <row r="82" spans="1:23" s="58" customFormat="1" ht="37.5" customHeight="1">
      <c r="A82" s="161">
        <v>123</v>
      </c>
      <c r="B82" s="162">
        <v>1000</v>
      </c>
      <c r="C82" s="161">
        <v>1</v>
      </c>
      <c r="D82" s="161"/>
      <c r="E82" s="161">
        <v>20</v>
      </c>
      <c r="F82" s="163" t="s">
        <v>91</v>
      </c>
      <c r="G82" s="189">
        <f>'REC 20'!G83</f>
        <v>217000000</v>
      </c>
      <c r="H82" s="161"/>
      <c r="I82" s="319">
        <f>'REC 20'!I83</f>
        <v>0</v>
      </c>
      <c r="J82" s="319">
        <f>'REC 20'!J83</f>
        <v>0</v>
      </c>
      <c r="K82" s="319">
        <f>'REC 20'!K83</f>
        <v>0</v>
      </c>
      <c r="L82" s="319">
        <f>'REC 20'!L83</f>
        <v>0</v>
      </c>
      <c r="M82" s="189">
        <f>'REC 20'!M83</f>
        <v>217000000</v>
      </c>
      <c r="N82" s="55"/>
      <c r="O82" s="189">
        <f>'REC 20'!O83</f>
        <v>149055400</v>
      </c>
      <c r="P82" s="189">
        <f>'REC 20'!P83</f>
        <v>149055400</v>
      </c>
      <c r="Q82" s="189">
        <f>'REC 20'!Q83</f>
        <v>149055400</v>
      </c>
      <c r="R82" s="319">
        <f>'REC 20'!R83</f>
        <v>45572000</v>
      </c>
      <c r="S82" s="56"/>
      <c r="T82" s="190">
        <f t="shared" si="12"/>
        <v>67944600</v>
      </c>
      <c r="U82" s="190">
        <f t="shared" si="11"/>
        <v>0</v>
      </c>
      <c r="V82" s="319">
        <f t="shared" si="13"/>
        <v>0</v>
      </c>
      <c r="W82" s="190">
        <f t="shared" si="11"/>
        <v>103483400</v>
      </c>
    </row>
    <row r="83" spans="1:23" ht="27.75" customHeight="1">
      <c r="A83" s="161">
        <v>510</v>
      </c>
      <c r="B83" s="162">
        <v>1000</v>
      </c>
      <c r="C83" s="161">
        <v>1</v>
      </c>
      <c r="D83" s="161"/>
      <c r="E83" s="161">
        <v>20</v>
      </c>
      <c r="F83" s="163" t="s">
        <v>87</v>
      </c>
      <c r="G83" s="189">
        <f>'REC 20'!G84</f>
        <v>43643000</v>
      </c>
      <c r="H83" s="218"/>
      <c r="I83" s="319">
        <f>'REC 20'!I84</f>
        <v>0</v>
      </c>
      <c r="J83" s="319">
        <f>'REC 20'!J84</f>
        <v>0</v>
      </c>
      <c r="K83" s="319">
        <f>'REC 20'!K84</f>
        <v>0</v>
      </c>
      <c r="L83" s="319">
        <f>'REC 20'!L84</f>
        <v>0</v>
      </c>
      <c r="M83" s="189">
        <f>'REC 20'!M84</f>
        <v>43643000</v>
      </c>
      <c r="N83" s="188"/>
      <c r="O83" s="189">
        <f>'REC 20'!O84</f>
        <v>41863940</v>
      </c>
      <c r="P83" s="189">
        <f>'REC 20'!P84</f>
        <v>41863940</v>
      </c>
      <c r="Q83" s="189">
        <f>'REC 20'!Q84</f>
        <v>41863940</v>
      </c>
      <c r="R83" s="189">
        <f>'REC 20'!R84</f>
        <v>41863940</v>
      </c>
      <c r="S83" s="219"/>
      <c r="T83" s="190">
        <f t="shared" si="12"/>
        <v>1779060</v>
      </c>
      <c r="U83" s="319">
        <f>+O83-P83</f>
        <v>0</v>
      </c>
      <c r="V83" s="190">
        <f t="shared" si="13"/>
        <v>0</v>
      </c>
      <c r="W83" s="190">
        <f>+Q83-R83</f>
        <v>0</v>
      </c>
    </row>
    <row r="84" spans="1:23" ht="38.25" customHeight="1">
      <c r="A84" s="161">
        <v>520</v>
      </c>
      <c r="B84" s="162">
        <v>1000</v>
      </c>
      <c r="C84" s="161">
        <v>5</v>
      </c>
      <c r="D84" s="161"/>
      <c r="E84" s="161">
        <v>20</v>
      </c>
      <c r="F84" s="163" t="s">
        <v>92</v>
      </c>
      <c r="G84" s="189">
        <f>'REC 20'!G85</f>
        <v>109620000</v>
      </c>
      <c r="H84" s="195"/>
      <c r="I84" s="319">
        <f>'REC 20'!I85</f>
        <v>0</v>
      </c>
      <c r="J84" s="319">
        <f>'REC 20'!J85</f>
        <v>0</v>
      </c>
      <c r="K84" s="319">
        <f>'REC 20'!K85</f>
        <v>0</v>
      </c>
      <c r="L84" s="319">
        <f>'REC 20'!L85</f>
        <v>0</v>
      </c>
      <c r="M84" s="189">
        <f>'REC 20'!M85</f>
        <v>109620000</v>
      </c>
      <c r="N84" s="188"/>
      <c r="O84" s="189">
        <f>'REC 20'!O85</f>
        <v>89950000</v>
      </c>
      <c r="P84" s="189">
        <f>'REC 20'!P85</f>
        <v>89950000</v>
      </c>
      <c r="Q84" s="189">
        <f>'REC 20'!Q85</f>
        <v>89950000</v>
      </c>
      <c r="R84" s="189">
        <f>'REC 20'!R85</f>
        <v>87640000</v>
      </c>
      <c r="S84" s="219"/>
      <c r="T84" s="190">
        <f>+M84-O84</f>
        <v>19670000</v>
      </c>
      <c r="U84" s="319">
        <f>+O84-P84</f>
        <v>0</v>
      </c>
      <c r="V84" s="190">
        <f t="shared" si="13"/>
        <v>0</v>
      </c>
      <c r="W84" s="319">
        <f>+Q84-R84</f>
        <v>2310000</v>
      </c>
    </row>
    <row r="85" spans="1:23" ht="27" customHeight="1">
      <c r="A85" s="161">
        <v>520</v>
      </c>
      <c r="B85" s="162">
        <v>1503</v>
      </c>
      <c r="C85" s="161">
        <v>1</v>
      </c>
      <c r="D85" s="161"/>
      <c r="E85" s="161">
        <v>20</v>
      </c>
      <c r="F85" s="163" t="s">
        <v>88</v>
      </c>
      <c r="G85" s="189">
        <f>'REC 20'!G86</f>
        <v>728500000</v>
      </c>
      <c r="H85" s="195"/>
      <c r="I85" s="319">
        <f>'REC 20'!I86</f>
        <v>0</v>
      </c>
      <c r="J85" s="319">
        <f>'REC 20'!J86</f>
        <v>0</v>
      </c>
      <c r="K85" s="189">
        <f>'REC 20'!K86</f>
        <v>100000000</v>
      </c>
      <c r="L85" s="319">
        <f>'REC 20'!L86</f>
        <v>0</v>
      </c>
      <c r="M85" s="189">
        <f>'REC 20'!M86</f>
        <v>628500000</v>
      </c>
      <c r="N85" s="188"/>
      <c r="O85" s="189">
        <f>'REC 20'!O86</f>
        <v>628447934</v>
      </c>
      <c r="P85" s="319">
        <f>'REC 20'!P86</f>
        <v>628447934</v>
      </c>
      <c r="Q85" s="319">
        <f>'REC 20'!Q86</f>
        <v>448663171</v>
      </c>
      <c r="R85" s="319">
        <f>'REC 20'!R86</f>
        <v>448663171</v>
      </c>
      <c r="S85" s="219"/>
      <c r="T85" s="319">
        <f>+M85-O85</f>
        <v>52066</v>
      </c>
      <c r="U85" s="190">
        <f>+O85-P85</f>
        <v>0</v>
      </c>
      <c r="V85" s="319">
        <f t="shared" si="13"/>
        <v>179784763</v>
      </c>
      <c r="W85" s="319">
        <f>+Q85-R85</f>
        <v>0</v>
      </c>
    </row>
    <row r="86" spans="1:23" ht="25.5" customHeight="1">
      <c r="A86" s="161">
        <v>520</v>
      </c>
      <c r="B86" s="162">
        <v>1503</v>
      </c>
      <c r="C86" s="161">
        <v>2</v>
      </c>
      <c r="D86" s="161"/>
      <c r="E86" s="161">
        <v>20</v>
      </c>
      <c r="F86" s="163" t="s">
        <v>89</v>
      </c>
      <c r="G86" s="189">
        <f>'REC 20'!G87</f>
        <v>15000000</v>
      </c>
      <c r="H86" s="195"/>
      <c r="I86" s="319">
        <f>'REC 20'!I87</f>
        <v>0</v>
      </c>
      <c r="J86" s="319">
        <f>'REC 20'!J87</f>
        <v>0</v>
      </c>
      <c r="K86" s="319">
        <f>'REC 20'!K87</f>
        <v>0</v>
      </c>
      <c r="L86" s="319">
        <f>'REC 20'!L87</f>
        <v>0</v>
      </c>
      <c r="M86" s="189">
        <f>'REC 20'!M87</f>
        <v>15000000</v>
      </c>
      <c r="N86" s="188"/>
      <c r="O86" s="319">
        <f>'REC 20'!O87</f>
        <v>13456000</v>
      </c>
      <c r="P86" s="319">
        <f>'REC 20'!P87</f>
        <v>13456000</v>
      </c>
      <c r="Q86" s="319">
        <f>'REC 20'!Q87</f>
        <v>13456000</v>
      </c>
      <c r="R86" s="319">
        <f>'REC 20'!R87</f>
        <v>13456000</v>
      </c>
      <c r="S86" s="219"/>
      <c r="T86" s="190">
        <f>+M86-O86</f>
        <v>1544000</v>
      </c>
      <c r="U86" s="319">
        <f>+O86-P86</f>
        <v>0</v>
      </c>
      <c r="V86" s="319">
        <f t="shared" si="13"/>
        <v>0</v>
      </c>
      <c r="W86" s="319">
        <f>+Q86-R86</f>
        <v>0</v>
      </c>
    </row>
    <row r="87" spans="1:23" ht="42.75" customHeight="1" thickBot="1">
      <c r="A87" s="161">
        <v>520</v>
      </c>
      <c r="B87" s="162">
        <v>1503</v>
      </c>
      <c r="C87" s="161">
        <v>3</v>
      </c>
      <c r="D87" s="161"/>
      <c r="E87" s="161">
        <v>20</v>
      </c>
      <c r="F87" s="163" t="s">
        <v>93</v>
      </c>
      <c r="G87" s="189">
        <f>'REC 20'!G88</f>
        <v>177082000</v>
      </c>
      <c r="H87" s="195"/>
      <c r="I87" s="319">
        <f>'REC 20'!I88</f>
        <v>0</v>
      </c>
      <c r="J87" s="319">
        <f>'REC 20'!J88</f>
        <v>0</v>
      </c>
      <c r="K87" s="319">
        <f>'REC 20'!K88</f>
        <v>0</v>
      </c>
      <c r="L87" s="319">
        <f>'REC 20'!L88</f>
        <v>0</v>
      </c>
      <c r="M87" s="189">
        <f>'REC 20'!M88</f>
        <v>177082000</v>
      </c>
      <c r="N87" s="220"/>
      <c r="O87" s="189">
        <f>'REC 20'!O88</f>
        <v>129794500</v>
      </c>
      <c r="P87" s="189">
        <f>'REC 20'!P88</f>
        <v>129794500</v>
      </c>
      <c r="Q87" s="189">
        <f>'REC 20'!Q88</f>
        <v>129794500</v>
      </c>
      <c r="R87" s="189">
        <f>'REC 20'!R88</f>
        <v>129794500</v>
      </c>
      <c r="S87" s="221"/>
      <c r="T87" s="190">
        <f>+M87-O87</f>
        <v>47287500</v>
      </c>
      <c r="U87" s="319">
        <f>+O87-P87</f>
        <v>0</v>
      </c>
      <c r="V87" s="190">
        <f t="shared" si="13"/>
        <v>0</v>
      </c>
      <c r="W87" s="190">
        <f>+Q87-R87</f>
        <v>0</v>
      </c>
    </row>
    <row r="88" spans="1:23" ht="12.75" customHeight="1" thickBot="1">
      <c r="A88" s="222"/>
      <c r="B88" s="222"/>
      <c r="C88" s="222"/>
      <c r="D88" s="222"/>
      <c r="E88" s="222"/>
      <c r="F88" s="317" t="s">
        <v>95</v>
      </c>
      <c r="G88" s="318">
        <f>SUM(G80+G70+G49+G10)</f>
        <v>8419362050</v>
      </c>
      <c r="H88" s="223"/>
      <c r="I88" s="224"/>
      <c r="J88" s="224"/>
      <c r="K88" s="224"/>
      <c r="L88" s="224"/>
      <c r="M88" s="224">
        <f>+M80+M8</f>
        <v>8319362050</v>
      </c>
      <c r="N88" s="225"/>
      <c r="O88" s="318">
        <f>SUM(O80+O70+O49+O10)</f>
        <v>8000756192</v>
      </c>
      <c r="P88" s="338">
        <f>SUM(P80+P70+P49+P10)</f>
        <v>7990971077</v>
      </c>
      <c r="Q88" s="318">
        <f>SUM(Q80+Q70+Q49+Q10)</f>
        <v>7792522727</v>
      </c>
      <c r="R88" s="318">
        <f>SUM(R80+R70+R49+R10)</f>
        <v>7674371943</v>
      </c>
      <c r="S88" s="226"/>
      <c r="T88" s="338">
        <f>SUM(T80+T70+T49+T10)</f>
        <v>318605858</v>
      </c>
      <c r="U88" s="318">
        <f>SUM(U80+U70+U49+U10)</f>
        <v>9785115</v>
      </c>
      <c r="V88" s="318">
        <f>SUM(V80+V70+V49+V10)</f>
        <v>198448350</v>
      </c>
      <c r="W88" s="318">
        <f>SUM(W80+W70+W49+W10)</f>
        <v>118150784</v>
      </c>
    </row>
    <row r="89" spans="1:23" ht="12">
      <c r="A89" s="199"/>
      <c r="B89" s="165"/>
      <c r="C89" s="165"/>
      <c r="D89" s="165"/>
      <c r="E89" s="165"/>
      <c r="F89" s="165"/>
      <c r="G89" s="200"/>
      <c r="H89" s="201"/>
      <c r="I89" s="202"/>
      <c r="J89" s="202"/>
      <c r="K89" s="202"/>
      <c r="L89" s="202"/>
      <c r="M89" s="202"/>
      <c r="N89" s="203"/>
      <c r="O89" s="202"/>
      <c r="P89" s="202"/>
      <c r="Q89" s="202"/>
      <c r="R89" s="202"/>
      <c r="S89" s="204"/>
      <c r="T89" s="204"/>
      <c r="U89" s="204"/>
      <c r="V89" s="204"/>
      <c r="W89" s="205"/>
    </row>
    <row r="90" spans="1:23" ht="12">
      <c r="A90" s="206"/>
      <c r="B90" s="164"/>
      <c r="C90" s="164"/>
      <c r="D90" s="164"/>
      <c r="E90" s="164"/>
      <c r="F90" s="164"/>
      <c r="G90" s="196"/>
      <c r="H90" s="197"/>
      <c r="I90" s="172"/>
      <c r="J90" s="172"/>
      <c r="K90" s="172"/>
      <c r="L90" s="172"/>
      <c r="M90" s="172"/>
      <c r="N90" s="198"/>
      <c r="O90" s="172"/>
      <c r="P90" s="172"/>
      <c r="Q90" s="172"/>
      <c r="R90" s="172"/>
      <c r="S90" s="194"/>
      <c r="T90" s="194"/>
      <c r="U90" s="194"/>
      <c r="V90" s="194"/>
      <c r="W90" s="207"/>
    </row>
    <row r="91" spans="1:23" ht="12">
      <c r="A91" s="206"/>
      <c r="B91" s="164"/>
      <c r="C91" s="164"/>
      <c r="D91" s="164"/>
      <c r="E91" s="164"/>
      <c r="F91" s="164"/>
      <c r="G91" s="196"/>
      <c r="H91" s="197"/>
      <c r="I91" s="172"/>
      <c r="J91" s="172"/>
      <c r="K91" s="172"/>
      <c r="L91" s="172"/>
      <c r="M91" s="172"/>
      <c r="N91" s="198"/>
      <c r="O91" s="172"/>
      <c r="P91" s="172"/>
      <c r="Q91" s="172"/>
      <c r="R91" s="172"/>
      <c r="S91" s="194"/>
      <c r="T91" s="194"/>
      <c r="U91" s="194"/>
      <c r="V91" s="194"/>
      <c r="W91" s="207"/>
    </row>
    <row r="92" spans="1:23" ht="12">
      <c r="A92" s="208"/>
      <c r="B92" s="164"/>
      <c r="C92" s="164"/>
      <c r="D92" s="164"/>
      <c r="E92" s="209" t="s">
        <v>49</v>
      </c>
      <c r="F92" s="164"/>
      <c r="G92" s="196"/>
      <c r="H92" s="197"/>
      <c r="I92" s="172"/>
      <c r="J92" s="172"/>
      <c r="K92" s="172"/>
      <c r="L92" s="172"/>
      <c r="M92" s="172"/>
      <c r="N92" s="198"/>
      <c r="O92" s="172"/>
      <c r="P92" s="279" t="s">
        <v>94</v>
      </c>
      <c r="Q92" s="172"/>
      <c r="R92" s="172"/>
      <c r="S92" s="194"/>
      <c r="T92" s="194"/>
      <c r="U92" s="194"/>
      <c r="V92" s="194"/>
      <c r="W92" s="207"/>
    </row>
    <row r="93" spans="1:23" ht="12">
      <c r="A93" s="206"/>
      <c r="B93" s="164"/>
      <c r="C93" s="164"/>
      <c r="D93" s="164"/>
      <c r="E93" s="164" t="s">
        <v>50</v>
      </c>
      <c r="F93" s="164"/>
      <c r="G93" s="196"/>
      <c r="H93" s="197"/>
      <c r="I93" s="172"/>
      <c r="J93" s="172"/>
      <c r="K93" s="172"/>
      <c r="L93" s="172"/>
      <c r="M93" s="172"/>
      <c r="N93" s="198"/>
      <c r="O93" s="172"/>
      <c r="P93" s="172" t="s">
        <v>51</v>
      </c>
      <c r="Q93" s="172"/>
      <c r="R93" s="172"/>
      <c r="S93" s="194"/>
      <c r="T93" s="194"/>
      <c r="U93" s="194"/>
      <c r="V93" s="194"/>
      <c r="W93" s="207"/>
    </row>
    <row r="94" spans="1:23" ht="12.75" thickBot="1">
      <c r="A94" s="211"/>
      <c r="B94" s="166"/>
      <c r="C94" s="166"/>
      <c r="D94" s="166"/>
      <c r="E94" s="166"/>
      <c r="F94" s="166"/>
      <c r="G94" s="212"/>
      <c r="H94" s="213"/>
      <c r="I94" s="214"/>
      <c r="J94" s="214"/>
      <c r="K94" s="214"/>
      <c r="L94" s="214"/>
      <c r="M94" s="214"/>
      <c r="N94" s="215"/>
      <c r="O94" s="214"/>
      <c r="P94" s="214"/>
      <c r="Q94" s="214"/>
      <c r="R94" s="214"/>
      <c r="S94" s="216"/>
      <c r="T94" s="216"/>
      <c r="U94" s="216"/>
      <c r="V94" s="216"/>
      <c r="W94" s="217"/>
    </row>
  </sheetData>
  <mergeCells count="16">
    <mergeCell ref="G5:G6"/>
    <mergeCell ref="O5:R5"/>
    <mergeCell ref="I5:J5"/>
    <mergeCell ref="K5:K6"/>
    <mergeCell ref="L5:L6"/>
    <mergeCell ref="M5:M6"/>
    <mergeCell ref="T5:W5"/>
    <mergeCell ref="A1:W1"/>
    <mergeCell ref="A2:W2"/>
    <mergeCell ref="A3:W3"/>
    <mergeCell ref="A5:A6"/>
    <mergeCell ref="B5:B6"/>
    <mergeCell ref="C5:C6"/>
    <mergeCell ref="D5:D6"/>
    <mergeCell ref="E5:E6"/>
    <mergeCell ref="F5:F6"/>
  </mergeCells>
  <printOptions horizontalCentered="1" verticalCentered="1"/>
  <pageMargins left="1.299212598425197" right="0.7874015748031497" top="0.3937007874015748" bottom="1.1023622047244095" header="0" footer="0"/>
  <pageSetup horizontalDpi="600" verticalDpi="600" orientation="landscape" paperSize="5" scale="55" r:id="rId1"/>
  <headerFooter alignWithMargins="0">
    <oddFooter>&amp;C&amp;P  DE &amp;N&amp;R&amp;9PROYECTO : GAF</oddFooter>
  </headerFooter>
  <rowBreaks count="1" manualBreakCount="1">
    <brk id="63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Q100"/>
  <sheetViews>
    <sheetView tabSelected="1" workbookViewId="0" topLeftCell="A64">
      <selection activeCell="J80" sqref="J80"/>
    </sheetView>
  </sheetViews>
  <sheetFormatPr defaultColWidth="11.421875" defaultRowHeight="12.75"/>
  <cols>
    <col min="1" max="1" width="4.7109375" style="6" customWidth="1"/>
    <col min="2" max="2" width="5.00390625" style="6" customWidth="1"/>
    <col min="3" max="3" width="4.8515625" style="6" bestFit="1" customWidth="1"/>
    <col min="4" max="4" width="3.421875" style="6" bestFit="1" customWidth="1"/>
    <col min="5" max="5" width="5.28125" style="6" customWidth="1"/>
    <col min="6" max="6" width="37.140625" style="11" bestFit="1" customWidth="1"/>
    <col min="7" max="7" width="18.28125" style="10" bestFit="1" customWidth="1"/>
    <col min="8" max="8" width="1.7109375" style="39" customWidth="1"/>
    <col min="9" max="9" width="1.1484375" style="41" customWidth="1"/>
    <col min="10" max="11" width="15.140625" style="252" customWidth="1"/>
    <col min="12" max="12" width="1.7109375" style="5" customWidth="1"/>
    <col min="13" max="13" width="17.140625" style="115" customWidth="1"/>
    <col min="14" max="14" width="11.57421875" style="239" customWidth="1"/>
    <col min="15" max="15" width="11.57421875" style="6" customWidth="1"/>
    <col min="16" max="16" width="14.00390625" style="11" customWidth="1"/>
    <col min="17" max="17" width="15.140625" style="6" customWidth="1"/>
    <col min="18" max="16384" width="11.57421875" style="6" customWidth="1"/>
  </cols>
  <sheetData>
    <row r="1" spans="1:16" s="1" customFormat="1" ht="15.7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06"/>
      <c r="P1" s="11"/>
    </row>
    <row r="2" spans="1:16" s="1" customFormat="1" ht="12.75">
      <c r="A2" s="350" t="s">
        <v>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239"/>
      <c r="P2" s="11"/>
    </row>
    <row r="3" spans="1:16" s="1" customFormat="1" ht="14.25">
      <c r="A3" s="351" t="s">
        <v>73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239"/>
      <c r="P3" s="11"/>
    </row>
    <row r="4" spans="6:16" s="1" customFormat="1" ht="13.5" thickBot="1">
      <c r="F4" s="11"/>
      <c r="G4" s="14"/>
      <c r="H4" s="13"/>
      <c r="I4" s="15"/>
      <c r="J4" s="170"/>
      <c r="K4" s="170"/>
      <c r="L4" s="2"/>
      <c r="M4" s="240"/>
      <c r="N4" s="239"/>
      <c r="P4" s="11"/>
    </row>
    <row r="5" spans="1:16" s="4" customFormat="1" ht="13.5" customHeight="1" thickBot="1">
      <c r="A5" s="364" t="s">
        <v>3</v>
      </c>
      <c r="B5" s="364" t="s">
        <v>4</v>
      </c>
      <c r="C5" s="364" t="s">
        <v>5</v>
      </c>
      <c r="D5" s="364" t="s">
        <v>6</v>
      </c>
      <c r="E5" s="364" t="s">
        <v>7</v>
      </c>
      <c r="F5" s="364" t="s">
        <v>8</v>
      </c>
      <c r="G5" s="362" t="s">
        <v>9</v>
      </c>
      <c r="H5" s="228"/>
      <c r="I5" s="137"/>
      <c r="J5" s="368" t="s">
        <v>100</v>
      </c>
      <c r="K5" s="368"/>
      <c r="L5" s="3"/>
      <c r="M5" s="371" t="s">
        <v>74</v>
      </c>
      <c r="N5" s="369" t="s">
        <v>78</v>
      </c>
      <c r="P5" s="256"/>
    </row>
    <row r="6" spans="1:16" s="4" customFormat="1" ht="24.75" thickBot="1">
      <c r="A6" s="365"/>
      <c r="B6" s="365"/>
      <c r="C6" s="365"/>
      <c r="D6" s="365"/>
      <c r="E6" s="365"/>
      <c r="F6" s="365"/>
      <c r="G6" s="366"/>
      <c r="H6" s="228"/>
      <c r="I6" s="237"/>
      <c r="J6" s="18" t="s">
        <v>16</v>
      </c>
      <c r="K6" s="18" t="s">
        <v>17</v>
      </c>
      <c r="L6" s="3"/>
      <c r="M6" s="372"/>
      <c r="N6" s="370"/>
      <c r="P6" s="256"/>
    </row>
    <row r="7" spans="1:14" ht="12.75">
      <c r="A7" s="158"/>
      <c r="B7" s="158"/>
      <c r="C7" s="158"/>
      <c r="D7" s="158"/>
      <c r="E7" s="158"/>
      <c r="F7" s="158"/>
      <c r="G7" s="181"/>
      <c r="H7" s="229"/>
      <c r="I7" s="20"/>
      <c r="J7" s="183"/>
      <c r="K7" s="183"/>
      <c r="M7" s="241"/>
      <c r="N7" s="242"/>
    </row>
    <row r="8" spans="1:17" s="66" customFormat="1" ht="12.75">
      <c r="A8" s="51">
        <v>1</v>
      </c>
      <c r="B8" s="160"/>
      <c r="C8" s="160"/>
      <c r="D8" s="160"/>
      <c r="E8" s="160"/>
      <c r="F8" s="159" t="s">
        <v>20</v>
      </c>
      <c r="G8" s="185">
        <f>+G10+G49+G70</f>
        <v>7128517050</v>
      </c>
      <c r="H8" s="230"/>
      <c r="I8" s="26"/>
      <c r="J8" s="185">
        <v>6948188418</v>
      </c>
      <c r="K8" s="185">
        <v>6938403303</v>
      </c>
      <c r="L8" s="92"/>
      <c r="M8" s="112">
        <v>180328632</v>
      </c>
      <c r="N8" s="243">
        <f>(K8/G8)*100</f>
        <v>97.33305334522558</v>
      </c>
      <c r="P8" s="332"/>
      <c r="Q8" s="92"/>
    </row>
    <row r="9" spans="1:17" s="66" customFormat="1" ht="12.75">
      <c r="A9" s="160"/>
      <c r="B9" s="160"/>
      <c r="C9" s="160"/>
      <c r="D9" s="160"/>
      <c r="E9" s="160"/>
      <c r="F9" s="160"/>
      <c r="G9" s="185"/>
      <c r="H9" s="230"/>
      <c r="I9" s="26"/>
      <c r="J9" s="57"/>
      <c r="K9" s="57"/>
      <c r="L9" s="92"/>
      <c r="M9" s="112"/>
      <c r="N9" s="244"/>
      <c r="P9" s="288"/>
      <c r="Q9" s="92"/>
    </row>
    <row r="10" spans="1:17" s="61" customFormat="1" ht="12.75">
      <c r="A10" s="51">
        <v>1</v>
      </c>
      <c r="B10" s="51">
        <v>0</v>
      </c>
      <c r="C10" s="51"/>
      <c r="D10" s="51"/>
      <c r="E10" s="51"/>
      <c r="F10" s="49" t="s">
        <v>21</v>
      </c>
      <c r="G10" s="108">
        <f>+G12+G39+G42</f>
        <v>4825300850</v>
      </c>
      <c r="H10" s="230"/>
      <c r="I10" s="27"/>
      <c r="J10" s="55">
        <v>4751312478</v>
      </c>
      <c r="K10" s="55">
        <v>4751312478</v>
      </c>
      <c r="L10" s="93"/>
      <c r="M10" s="112">
        <v>73988372</v>
      </c>
      <c r="N10" s="243">
        <f>(+K10/G10)*100</f>
        <v>98.46665784580043</v>
      </c>
      <c r="P10" s="335"/>
      <c r="Q10" s="92"/>
    </row>
    <row r="11" spans="1:17" s="66" customFormat="1" ht="12.75">
      <c r="A11" s="187"/>
      <c r="B11" s="187"/>
      <c r="C11" s="187"/>
      <c r="D11" s="187"/>
      <c r="E11" s="187"/>
      <c r="F11" s="49"/>
      <c r="G11" s="53"/>
      <c r="H11" s="230"/>
      <c r="I11" s="28"/>
      <c r="J11" s="188"/>
      <c r="K11" s="188"/>
      <c r="L11" s="92"/>
      <c r="M11" s="111"/>
      <c r="N11" s="244"/>
      <c r="P11" s="288"/>
      <c r="Q11" s="92"/>
    </row>
    <row r="12" spans="1:17" s="61" customFormat="1" ht="24">
      <c r="A12" s="51">
        <v>1</v>
      </c>
      <c r="B12" s="51">
        <v>0</v>
      </c>
      <c r="C12" s="51">
        <v>1</v>
      </c>
      <c r="D12" s="51"/>
      <c r="E12" s="51"/>
      <c r="F12" s="49" t="s">
        <v>22</v>
      </c>
      <c r="G12" s="108">
        <f>+G14+G18+G22+G32+G35</f>
        <v>3483842850</v>
      </c>
      <c r="H12" s="230"/>
      <c r="I12" s="26"/>
      <c r="J12" s="55">
        <v>3446770904</v>
      </c>
      <c r="K12" s="55">
        <v>3446770904</v>
      </c>
      <c r="L12" s="93"/>
      <c r="M12" s="112">
        <v>19857000</v>
      </c>
      <c r="N12" s="243">
        <f>(+K12/G12)*100</f>
        <v>98.93588925803584</v>
      </c>
      <c r="P12" s="305"/>
      <c r="Q12" s="92"/>
    </row>
    <row r="13" spans="1:17" s="61" customFormat="1" ht="12.75">
      <c r="A13" s="51"/>
      <c r="B13" s="51"/>
      <c r="C13" s="51"/>
      <c r="D13" s="51"/>
      <c r="E13" s="51"/>
      <c r="F13" s="49"/>
      <c r="G13" s="53"/>
      <c r="H13" s="230"/>
      <c r="I13" s="26"/>
      <c r="J13" s="55"/>
      <c r="K13" s="55"/>
      <c r="L13" s="93"/>
      <c r="M13" s="112"/>
      <c r="N13" s="244"/>
      <c r="P13" s="305"/>
      <c r="Q13" s="92"/>
    </row>
    <row r="14" spans="1:17" s="61" customFormat="1" ht="12.75">
      <c r="A14" s="51">
        <v>1</v>
      </c>
      <c r="B14" s="51">
        <v>0</v>
      </c>
      <c r="C14" s="51">
        <v>1</v>
      </c>
      <c r="D14" s="51">
        <v>1</v>
      </c>
      <c r="E14" s="51"/>
      <c r="F14" s="49" t="s">
        <v>23</v>
      </c>
      <c r="G14" s="108">
        <f>+G15+G16</f>
        <v>2309037550</v>
      </c>
      <c r="H14" s="230"/>
      <c r="I14" s="26"/>
      <c r="J14" s="55">
        <v>2495466394</v>
      </c>
      <c r="K14" s="55">
        <v>2495466394</v>
      </c>
      <c r="L14" s="93"/>
      <c r="M14" s="112">
        <v>8896468</v>
      </c>
      <c r="N14" s="243">
        <f>(+K14/G14)*100</f>
        <v>108.07387666779174</v>
      </c>
      <c r="P14" s="305"/>
      <c r="Q14" s="92"/>
    </row>
    <row r="15" spans="1:17" s="66" customFormat="1" ht="12.75">
      <c r="A15" s="187">
        <v>1</v>
      </c>
      <c r="B15" s="187">
        <v>0</v>
      </c>
      <c r="C15" s="187">
        <v>1</v>
      </c>
      <c r="D15" s="187">
        <v>1</v>
      </c>
      <c r="E15" s="187">
        <v>1</v>
      </c>
      <c r="F15" s="32" t="s">
        <v>52</v>
      </c>
      <c r="G15" s="189">
        <f>'REC 20'!G15+'REC 21'!G15</f>
        <v>2089037550</v>
      </c>
      <c r="H15" s="231"/>
      <c r="I15" s="28"/>
      <c r="J15" s="189">
        <v>2310380817</v>
      </c>
      <c r="K15" s="189">
        <v>2310380817</v>
      </c>
      <c r="L15" s="92"/>
      <c r="M15" s="191">
        <v>5243915</v>
      </c>
      <c r="N15" s="244">
        <f>(+K15/G15)*100</f>
        <v>110.5954661753208</v>
      </c>
      <c r="P15" s="74"/>
      <c r="Q15" s="92"/>
    </row>
    <row r="16" spans="1:17" s="66" customFormat="1" ht="12.75">
      <c r="A16" s="187">
        <v>1</v>
      </c>
      <c r="B16" s="187">
        <v>0</v>
      </c>
      <c r="C16" s="187">
        <v>1</v>
      </c>
      <c r="D16" s="187">
        <v>1</v>
      </c>
      <c r="E16" s="187">
        <v>2</v>
      </c>
      <c r="F16" s="32" t="s">
        <v>53</v>
      </c>
      <c r="G16" s="189">
        <f>'REC 20'!G16+'REC 21'!G16</f>
        <v>220000000</v>
      </c>
      <c r="H16" s="231"/>
      <c r="I16" s="28"/>
      <c r="J16" s="189">
        <v>185085577</v>
      </c>
      <c r="K16" s="189">
        <v>185085577</v>
      </c>
      <c r="L16" s="92"/>
      <c r="M16" s="191">
        <v>3652553</v>
      </c>
      <c r="N16" s="244">
        <f>(+K16/G16)*100</f>
        <v>84.12980772727273</v>
      </c>
      <c r="P16" s="74"/>
      <c r="Q16" s="92"/>
    </row>
    <row r="17" spans="1:17" s="66" customFormat="1" ht="12.75">
      <c r="A17" s="187"/>
      <c r="B17" s="187"/>
      <c r="C17" s="187"/>
      <c r="D17" s="187"/>
      <c r="E17" s="187"/>
      <c r="F17" s="32"/>
      <c r="G17" s="189"/>
      <c r="H17" s="231"/>
      <c r="I17" s="28"/>
      <c r="J17" s="188"/>
      <c r="K17" s="188"/>
      <c r="L17" s="92"/>
      <c r="M17" s="191"/>
      <c r="N17" s="244"/>
      <c r="P17" s="74"/>
      <c r="Q17" s="92"/>
    </row>
    <row r="18" spans="1:17" s="66" customFormat="1" ht="12.75">
      <c r="A18" s="51">
        <v>1</v>
      </c>
      <c r="B18" s="51">
        <v>0</v>
      </c>
      <c r="C18" s="51">
        <v>1</v>
      </c>
      <c r="D18" s="51">
        <v>4</v>
      </c>
      <c r="E18" s="51"/>
      <c r="F18" s="49" t="s">
        <v>24</v>
      </c>
      <c r="G18" s="108">
        <f>+G19+G20</f>
        <v>297462000</v>
      </c>
      <c r="H18" s="231"/>
      <c r="I18" s="28"/>
      <c r="J18" s="55">
        <v>315121367</v>
      </c>
      <c r="K18" s="55">
        <v>315121367</v>
      </c>
      <c r="L18" s="92"/>
      <c r="M18" s="186">
        <v>988534</v>
      </c>
      <c r="N18" s="243">
        <f>(+K18/G18)*100</f>
        <v>105.93667997929148</v>
      </c>
      <c r="P18" s="304"/>
      <c r="Q18" s="92"/>
    </row>
    <row r="19" spans="1:17" s="61" customFormat="1" ht="12.75">
      <c r="A19" s="187">
        <v>1</v>
      </c>
      <c r="B19" s="187">
        <v>0</v>
      </c>
      <c r="C19" s="187">
        <v>1</v>
      </c>
      <c r="D19" s="187">
        <v>4</v>
      </c>
      <c r="E19" s="187">
        <v>1</v>
      </c>
      <c r="F19" s="32" t="s">
        <v>54</v>
      </c>
      <c r="G19" s="189">
        <f>'REC 20'!G19+'REC 21'!G19</f>
        <v>32465700</v>
      </c>
      <c r="H19" s="230"/>
      <c r="I19" s="26"/>
      <c r="J19" s="189">
        <v>28848961</v>
      </c>
      <c r="K19" s="189">
        <v>28848961</v>
      </c>
      <c r="L19" s="93"/>
      <c r="M19" s="191">
        <v>54</v>
      </c>
      <c r="N19" s="244">
        <f>(+K19/G19)*100</f>
        <v>88.85981512796583</v>
      </c>
      <c r="P19" s="261"/>
      <c r="Q19" s="92"/>
    </row>
    <row r="20" spans="1:17" s="66" customFormat="1" ht="12.75">
      <c r="A20" s="187">
        <v>1</v>
      </c>
      <c r="B20" s="187">
        <v>0</v>
      </c>
      <c r="C20" s="187">
        <v>1</v>
      </c>
      <c r="D20" s="187">
        <v>4</v>
      </c>
      <c r="E20" s="187">
        <v>2</v>
      </c>
      <c r="F20" s="32" t="s">
        <v>55</v>
      </c>
      <c r="G20" s="189">
        <f>'REC 20'!G20+'REC 21'!G20</f>
        <v>264996300</v>
      </c>
      <c r="H20" s="231"/>
      <c r="I20" s="28"/>
      <c r="J20" s="189">
        <v>286272406</v>
      </c>
      <c r="K20" s="189">
        <v>286272406</v>
      </c>
      <c r="L20" s="92"/>
      <c r="M20" s="191">
        <v>988480</v>
      </c>
      <c r="N20" s="244">
        <f>(+K20/G20)*100</f>
        <v>108.0288313459471</v>
      </c>
      <c r="P20" s="74"/>
      <c r="Q20" s="92"/>
    </row>
    <row r="21" spans="1:17" s="66" customFormat="1" ht="12.75">
      <c r="A21" s="187"/>
      <c r="B21" s="187"/>
      <c r="C21" s="187"/>
      <c r="D21" s="187"/>
      <c r="E21" s="187"/>
      <c r="F21" s="32"/>
      <c r="G21" s="189"/>
      <c r="H21" s="231"/>
      <c r="I21" s="28"/>
      <c r="J21" s="188"/>
      <c r="K21" s="188"/>
      <c r="L21" s="92"/>
      <c r="M21" s="191"/>
      <c r="N21" s="244"/>
      <c r="P21" s="74"/>
      <c r="Q21" s="92"/>
    </row>
    <row r="22" spans="1:17" s="66" customFormat="1" ht="12.75">
      <c r="A22" s="51">
        <v>1</v>
      </c>
      <c r="B22" s="51">
        <v>0</v>
      </c>
      <c r="C22" s="51">
        <v>1</v>
      </c>
      <c r="D22" s="51">
        <v>5</v>
      </c>
      <c r="E22" s="51"/>
      <c r="F22" s="49" t="s">
        <v>25</v>
      </c>
      <c r="G22" s="108">
        <f>SUM(G23:G30)</f>
        <v>574031000</v>
      </c>
      <c r="H22" s="232"/>
      <c r="I22" s="59"/>
      <c r="J22" s="55">
        <v>605646209</v>
      </c>
      <c r="K22" s="55">
        <v>605646209</v>
      </c>
      <c r="L22" s="94"/>
      <c r="M22" s="186">
        <v>9538468</v>
      </c>
      <c r="N22" s="243">
        <f aca="true" t="shared" si="0" ref="N22:N85">(+K22/G22)*100</f>
        <v>105.50757868477487</v>
      </c>
      <c r="P22" s="304"/>
      <c r="Q22" s="92"/>
    </row>
    <row r="23" spans="1:17" s="66" customFormat="1" ht="24">
      <c r="A23" s="187">
        <v>1</v>
      </c>
      <c r="B23" s="187">
        <v>0</v>
      </c>
      <c r="C23" s="187">
        <v>1</v>
      </c>
      <c r="D23" s="187">
        <v>5</v>
      </c>
      <c r="E23" s="187">
        <v>2</v>
      </c>
      <c r="F23" s="32" t="s">
        <v>56</v>
      </c>
      <c r="G23" s="189">
        <f>'REC 20'!G23+'REC 21'!G23</f>
        <v>69829000</v>
      </c>
      <c r="H23" s="230"/>
      <c r="I23" s="26"/>
      <c r="J23" s="189">
        <v>72939952</v>
      </c>
      <c r="K23" s="189">
        <v>72939952</v>
      </c>
      <c r="L23" s="92"/>
      <c r="M23" s="191">
        <v>0</v>
      </c>
      <c r="N23" s="244">
        <f t="shared" si="0"/>
        <v>104.45510031648742</v>
      </c>
      <c r="P23" s="74"/>
      <c r="Q23" s="92"/>
    </row>
    <row r="24" spans="1:17" s="66" customFormat="1" ht="24">
      <c r="A24" s="187">
        <v>1</v>
      </c>
      <c r="B24" s="187">
        <v>0</v>
      </c>
      <c r="C24" s="187">
        <v>1</v>
      </c>
      <c r="D24" s="187">
        <v>5</v>
      </c>
      <c r="E24" s="187">
        <v>5</v>
      </c>
      <c r="F24" s="32" t="s">
        <v>57</v>
      </c>
      <c r="G24" s="189">
        <f>'REC 20'!G24+'REC 21'!G24</f>
        <v>12828000</v>
      </c>
      <c r="H24" s="231"/>
      <c r="I24" s="28"/>
      <c r="J24" s="189">
        <v>14963249</v>
      </c>
      <c r="K24" s="189">
        <v>14963249</v>
      </c>
      <c r="L24" s="92"/>
      <c r="M24" s="191">
        <v>37010</v>
      </c>
      <c r="N24" s="244">
        <f t="shared" si="0"/>
        <v>116.64522139070783</v>
      </c>
      <c r="P24" s="74"/>
      <c r="Q24" s="92"/>
    </row>
    <row r="25" spans="1:17" s="66" customFormat="1" ht="12.75">
      <c r="A25" s="187">
        <v>1</v>
      </c>
      <c r="B25" s="187">
        <v>0</v>
      </c>
      <c r="C25" s="187">
        <v>1</v>
      </c>
      <c r="D25" s="187">
        <v>5</v>
      </c>
      <c r="E25" s="187">
        <v>12</v>
      </c>
      <c r="F25" s="32" t="s">
        <v>58</v>
      </c>
      <c r="G25" s="189">
        <f>'REC 20'!G25+'REC 21'!G25</f>
        <v>5855000</v>
      </c>
      <c r="H25" s="231"/>
      <c r="I25" s="28"/>
      <c r="J25" s="189">
        <v>5798250</v>
      </c>
      <c r="K25" s="189">
        <v>5798250</v>
      </c>
      <c r="L25" s="92"/>
      <c r="M25" s="191">
        <v>56750</v>
      </c>
      <c r="N25" s="244">
        <f t="shared" si="0"/>
        <v>99.03074295473954</v>
      </c>
      <c r="P25" s="74"/>
      <c r="Q25" s="92"/>
    </row>
    <row r="26" spans="1:17" s="66" customFormat="1" ht="12.75">
      <c r="A26" s="187">
        <v>1</v>
      </c>
      <c r="B26" s="187">
        <v>0</v>
      </c>
      <c r="C26" s="187">
        <v>1</v>
      </c>
      <c r="D26" s="187">
        <v>5</v>
      </c>
      <c r="E26" s="187">
        <v>13</v>
      </c>
      <c r="F26" s="32" t="s">
        <v>59</v>
      </c>
      <c r="G26" s="189">
        <f>'REC 20'!G26+'REC 21'!G26</f>
        <v>6600000</v>
      </c>
      <c r="H26" s="231"/>
      <c r="I26" s="28"/>
      <c r="J26" s="189">
        <v>6787866</v>
      </c>
      <c r="K26" s="189">
        <v>6787866</v>
      </c>
      <c r="L26" s="92"/>
      <c r="M26" s="191">
        <v>112134</v>
      </c>
      <c r="N26" s="244">
        <f t="shared" si="0"/>
        <v>102.84645454545453</v>
      </c>
      <c r="P26" s="74"/>
      <c r="Q26" s="92"/>
    </row>
    <row r="27" spans="1:17" s="66" customFormat="1" ht="12.75">
      <c r="A27" s="187">
        <v>1</v>
      </c>
      <c r="B27" s="187">
        <v>0</v>
      </c>
      <c r="C27" s="187">
        <v>1</v>
      </c>
      <c r="D27" s="187">
        <v>5</v>
      </c>
      <c r="E27" s="187">
        <v>14</v>
      </c>
      <c r="F27" s="32" t="s">
        <v>60</v>
      </c>
      <c r="G27" s="189">
        <f>'REC 20'!G27+'REC 21'!G27</f>
        <v>100755000</v>
      </c>
      <c r="H27" s="231"/>
      <c r="I27" s="28"/>
      <c r="J27" s="189">
        <v>105785390</v>
      </c>
      <c r="K27" s="189">
        <v>105785390</v>
      </c>
      <c r="L27" s="92"/>
      <c r="M27" s="191">
        <v>338004</v>
      </c>
      <c r="N27" s="244">
        <f t="shared" si="0"/>
        <v>104.99269515160539</v>
      </c>
      <c r="P27" s="74"/>
      <c r="Q27" s="92"/>
    </row>
    <row r="28" spans="1:17" s="66" customFormat="1" ht="12.75">
      <c r="A28" s="187">
        <v>1</v>
      </c>
      <c r="B28" s="187">
        <v>0</v>
      </c>
      <c r="C28" s="187">
        <v>1</v>
      </c>
      <c r="D28" s="187">
        <v>5</v>
      </c>
      <c r="E28" s="187">
        <v>15</v>
      </c>
      <c r="F28" s="32" t="s">
        <v>61</v>
      </c>
      <c r="G28" s="189">
        <f>'REC 20'!G28+'REC 21'!G28</f>
        <v>104952000</v>
      </c>
      <c r="H28" s="231"/>
      <c r="I28" s="28"/>
      <c r="J28" s="189">
        <v>121842587</v>
      </c>
      <c r="K28" s="189">
        <v>121842587</v>
      </c>
      <c r="L28" s="92"/>
      <c r="M28" s="191">
        <v>430632</v>
      </c>
      <c r="N28" s="244">
        <f t="shared" si="0"/>
        <v>116.09363042152603</v>
      </c>
      <c r="P28" s="74"/>
      <c r="Q28" s="92"/>
    </row>
    <row r="29" spans="1:17" s="66" customFormat="1" ht="12.75">
      <c r="A29" s="187">
        <v>1</v>
      </c>
      <c r="B29" s="187">
        <v>0</v>
      </c>
      <c r="C29" s="187">
        <v>1</v>
      </c>
      <c r="D29" s="187">
        <v>5</v>
      </c>
      <c r="E29" s="187">
        <v>16</v>
      </c>
      <c r="F29" s="32" t="s">
        <v>62</v>
      </c>
      <c r="G29" s="189">
        <f>'REC 20'!G29+'REC 21'!G29</f>
        <v>218652000</v>
      </c>
      <c r="H29" s="231"/>
      <c r="I29" s="28"/>
      <c r="J29" s="189">
        <v>227613611</v>
      </c>
      <c r="K29" s="189">
        <v>227613611</v>
      </c>
      <c r="L29" s="92"/>
      <c r="M29" s="191">
        <v>8552052</v>
      </c>
      <c r="N29" s="244">
        <f t="shared" si="0"/>
        <v>104.09857261767557</v>
      </c>
      <c r="P29" s="74"/>
      <c r="Q29" s="92"/>
    </row>
    <row r="30" spans="1:17" s="66" customFormat="1" ht="12.75">
      <c r="A30" s="187">
        <v>1</v>
      </c>
      <c r="B30" s="187">
        <v>0</v>
      </c>
      <c r="C30" s="187">
        <v>1</v>
      </c>
      <c r="D30" s="187">
        <v>5</v>
      </c>
      <c r="E30" s="187">
        <v>47</v>
      </c>
      <c r="F30" s="32" t="s">
        <v>63</v>
      </c>
      <c r="G30" s="189">
        <f>'REC 20'!G30+'REC 21'!G30</f>
        <v>54560000</v>
      </c>
      <c r="H30" s="231"/>
      <c r="I30" s="28"/>
      <c r="J30" s="189">
        <v>49915304</v>
      </c>
      <c r="K30" s="189">
        <v>49915304</v>
      </c>
      <c r="L30" s="92"/>
      <c r="M30" s="191">
        <v>11886</v>
      </c>
      <c r="N30" s="244">
        <f t="shared" si="0"/>
        <v>91.48699413489736</v>
      </c>
      <c r="P30" s="74"/>
      <c r="Q30" s="92"/>
    </row>
    <row r="31" spans="1:17" s="66" customFormat="1" ht="12.75">
      <c r="A31" s="187"/>
      <c r="B31" s="187"/>
      <c r="C31" s="187"/>
      <c r="D31" s="187"/>
      <c r="E31" s="187"/>
      <c r="F31" s="32"/>
      <c r="G31" s="189"/>
      <c r="H31" s="231"/>
      <c r="I31" s="28"/>
      <c r="J31" s="188"/>
      <c r="K31" s="188"/>
      <c r="L31" s="92"/>
      <c r="M31" s="191"/>
      <c r="N31" s="244"/>
      <c r="P31" s="74"/>
      <c r="Q31" s="92"/>
    </row>
    <row r="32" spans="1:17" s="66" customFormat="1" ht="24">
      <c r="A32" s="51">
        <v>1</v>
      </c>
      <c r="B32" s="51">
        <v>0</v>
      </c>
      <c r="C32" s="51">
        <v>1</v>
      </c>
      <c r="D32" s="51">
        <v>8</v>
      </c>
      <c r="E32" s="187"/>
      <c r="F32" s="49" t="s">
        <v>26</v>
      </c>
      <c r="G32" s="108">
        <f>+G33</f>
        <v>296048000</v>
      </c>
      <c r="H32" s="232"/>
      <c r="I32" s="59"/>
      <c r="J32" s="55">
        <v>0</v>
      </c>
      <c r="K32" s="55">
        <v>0</v>
      </c>
      <c r="L32" s="94"/>
      <c r="M32" s="186">
        <v>0</v>
      </c>
      <c r="N32" s="243">
        <f t="shared" si="0"/>
        <v>0</v>
      </c>
      <c r="P32" s="304"/>
      <c r="Q32" s="92"/>
    </row>
    <row r="33" spans="1:17" s="66" customFormat="1" ht="12.75">
      <c r="A33" s="187">
        <v>1</v>
      </c>
      <c r="B33" s="187">
        <v>0</v>
      </c>
      <c r="C33" s="187">
        <v>1</v>
      </c>
      <c r="D33" s="187">
        <v>8</v>
      </c>
      <c r="E33" s="187">
        <v>1</v>
      </c>
      <c r="F33" s="32" t="s">
        <v>21</v>
      </c>
      <c r="G33" s="189">
        <f>'REC 20'!G33+'REC 21'!G33</f>
        <v>296048000</v>
      </c>
      <c r="H33" s="230"/>
      <c r="I33" s="26"/>
      <c r="J33" s="319">
        <v>0</v>
      </c>
      <c r="K33" s="319">
        <v>0</v>
      </c>
      <c r="L33" s="92"/>
      <c r="M33" s="191">
        <v>0</v>
      </c>
      <c r="N33" s="244">
        <f t="shared" si="0"/>
        <v>0</v>
      </c>
      <c r="P33" s="74"/>
      <c r="Q33" s="92"/>
    </row>
    <row r="34" spans="1:17" s="66" customFormat="1" ht="12.75">
      <c r="A34" s="187"/>
      <c r="B34" s="187"/>
      <c r="C34" s="187"/>
      <c r="D34" s="187"/>
      <c r="E34" s="187"/>
      <c r="F34" s="32"/>
      <c r="G34" s="189"/>
      <c r="H34" s="231"/>
      <c r="I34" s="28"/>
      <c r="J34" s="188"/>
      <c r="K34" s="188"/>
      <c r="L34" s="92"/>
      <c r="M34" s="191"/>
      <c r="N34" s="244"/>
      <c r="P34" s="74"/>
      <c r="Q34" s="92"/>
    </row>
    <row r="35" spans="1:17" s="66" customFormat="1" ht="24">
      <c r="A35" s="51">
        <v>1</v>
      </c>
      <c r="B35" s="51">
        <v>0</v>
      </c>
      <c r="C35" s="51">
        <v>1</v>
      </c>
      <c r="D35" s="51">
        <v>9</v>
      </c>
      <c r="E35" s="51"/>
      <c r="F35" s="49" t="s">
        <v>27</v>
      </c>
      <c r="G35" s="108">
        <f>+G36+G37</f>
        <v>7264300</v>
      </c>
      <c r="H35" s="231"/>
      <c r="I35" s="28"/>
      <c r="J35" s="55">
        <v>30536934</v>
      </c>
      <c r="K35" s="55">
        <v>30536934</v>
      </c>
      <c r="L35" s="92"/>
      <c r="M35" s="186">
        <v>433530</v>
      </c>
      <c r="N35" s="243">
        <f t="shared" si="0"/>
        <v>420.3699461751304</v>
      </c>
      <c r="P35" s="304"/>
      <c r="Q35" s="92"/>
    </row>
    <row r="36" spans="1:17" s="66" customFormat="1" ht="12.75">
      <c r="A36" s="187">
        <v>1</v>
      </c>
      <c r="B36" s="187">
        <v>0</v>
      </c>
      <c r="C36" s="187">
        <v>1</v>
      </c>
      <c r="D36" s="187">
        <v>9</v>
      </c>
      <c r="E36" s="187">
        <v>1</v>
      </c>
      <c r="F36" s="32" t="s">
        <v>64</v>
      </c>
      <c r="G36" s="189">
        <f>'REC 20'!G36+'REC 21'!G36</f>
        <v>7264300</v>
      </c>
      <c r="H36" s="230"/>
      <c r="I36" s="27"/>
      <c r="J36" s="189">
        <v>10639816</v>
      </c>
      <c r="K36" s="189">
        <v>10639816</v>
      </c>
      <c r="L36" s="92"/>
      <c r="M36" s="191">
        <v>433530</v>
      </c>
      <c r="N36" s="244">
        <f t="shared" si="0"/>
        <v>146.46718885508582</v>
      </c>
      <c r="P36" s="74"/>
      <c r="Q36" s="92"/>
    </row>
    <row r="37" spans="1:17" s="66" customFormat="1" ht="12.75">
      <c r="A37" s="187">
        <v>1</v>
      </c>
      <c r="B37" s="187">
        <v>0</v>
      </c>
      <c r="C37" s="187">
        <v>1</v>
      </c>
      <c r="D37" s="187">
        <v>9</v>
      </c>
      <c r="E37" s="187">
        <v>3</v>
      </c>
      <c r="F37" s="32" t="s">
        <v>65</v>
      </c>
      <c r="G37" s="319">
        <f>'REC 20'!G37+'REC 21'!G37</f>
        <v>0</v>
      </c>
      <c r="H37" s="231"/>
      <c r="I37" s="28"/>
      <c r="J37" s="189">
        <v>19897118</v>
      </c>
      <c r="K37" s="189">
        <v>19897118</v>
      </c>
      <c r="L37" s="92"/>
      <c r="M37" s="319">
        <v>0</v>
      </c>
      <c r="N37" s="244"/>
      <c r="P37" s="74"/>
      <c r="Q37" s="92"/>
    </row>
    <row r="38" spans="1:17" s="66" customFormat="1" ht="12.75">
      <c r="A38" s="187"/>
      <c r="B38" s="187"/>
      <c r="C38" s="187"/>
      <c r="D38" s="187"/>
      <c r="E38" s="187"/>
      <c r="F38" s="32"/>
      <c r="G38" s="189"/>
      <c r="H38" s="231"/>
      <c r="I38" s="28"/>
      <c r="J38" s="188"/>
      <c r="K38" s="188"/>
      <c r="L38" s="92"/>
      <c r="M38" s="191"/>
      <c r="N38" s="244"/>
      <c r="P38" s="74"/>
      <c r="Q38" s="92"/>
    </row>
    <row r="39" spans="1:17" s="66" customFormat="1" ht="12.75">
      <c r="A39" s="51">
        <v>1</v>
      </c>
      <c r="B39" s="51">
        <v>0</v>
      </c>
      <c r="C39" s="51">
        <v>2</v>
      </c>
      <c r="D39" s="51"/>
      <c r="E39" s="51"/>
      <c r="F39" s="49" t="s">
        <v>28</v>
      </c>
      <c r="G39" s="108">
        <f>+G40</f>
        <v>360000000</v>
      </c>
      <c r="H39" s="231"/>
      <c r="I39" s="28"/>
      <c r="J39" s="55">
        <v>247644220</v>
      </c>
      <c r="K39" s="55">
        <v>247644220</v>
      </c>
      <c r="L39" s="92"/>
      <c r="M39" s="186">
        <v>49953440</v>
      </c>
      <c r="N39" s="243">
        <f t="shared" si="0"/>
        <v>68.79006111111111</v>
      </c>
      <c r="P39" s="304"/>
      <c r="Q39" s="92"/>
    </row>
    <row r="40" spans="1:17" s="61" customFormat="1" ht="12.75">
      <c r="A40" s="187">
        <v>1</v>
      </c>
      <c r="B40" s="187">
        <v>0</v>
      </c>
      <c r="C40" s="187">
        <v>2</v>
      </c>
      <c r="D40" s="187">
        <v>14</v>
      </c>
      <c r="E40" s="187"/>
      <c r="F40" s="32" t="s">
        <v>66</v>
      </c>
      <c r="G40" s="189">
        <f>'REC 20'!G40+'REC 21'!G40</f>
        <v>360000000</v>
      </c>
      <c r="H40" s="230"/>
      <c r="I40" s="26"/>
      <c r="J40" s="189">
        <v>247644220</v>
      </c>
      <c r="K40" s="189">
        <v>247644220</v>
      </c>
      <c r="L40" s="93"/>
      <c r="M40" s="191">
        <v>49953440</v>
      </c>
      <c r="N40" s="244">
        <f t="shared" si="0"/>
        <v>68.79006111111111</v>
      </c>
      <c r="P40" s="261"/>
      <c r="Q40" s="92"/>
    </row>
    <row r="41" spans="1:17" s="66" customFormat="1" ht="12.75">
      <c r="A41" s="187"/>
      <c r="B41" s="187"/>
      <c r="C41" s="187"/>
      <c r="D41" s="187"/>
      <c r="E41" s="187"/>
      <c r="F41" s="32"/>
      <c r="G41" s="189"/>
      <c r="H41" s="231"/>
      <c r="I41" s="28"/>
      <c r="J41" s="188"/>
      <c r="K41" s="188"/>
      <c r="L41" s="92"/>
      <c r="M41" s="191"/>
      <c r="N41" s="244"/>
      <c r="P41" s="74"/>
      <c r="Q41" s="92"/>
    </row>
    <row r="42" spans="1:17" s="66" customFormat="1" ht="24">
      <c r="A42" s="51">
        <v>1</v>
      </c>
      <c r="B42" s="51">
        <v>0</v>
      </c>
      <c r="C42" s="51">
        <v>5</v>
      </c>
      <c r="D42" s="51"/>
      <c r="E42" s="51"/>
      <c r="F42" s="49" t="s">
        <v>29</v>
      </c>
      <c r="G42" s="108">
        <f>SUM(G44:G47)</f>
        <v>981458000</v>
      </c>
      <c r="H42" s="231"/>
      <c r="I42" s="28"/>
      <c r="J42" s="53">
        <v>1056897354</v>
      </c>
      <c r="K42" s="53">
        <v>1056897354</v>
      </c>
      <c r="L42" s="92"/>
      <c r="M42" s="186">
        <v>4177932</v>
      </c>
      <c r="N42" s="243">
        <f t="shared" si="0"/>
        <v>107.68645769864833</v>
      </c>
      <c r="P42" s="304"/>
      <c r="Q42" s="92"/>
    </row>
    <row r="43" spans="1:17" s="61" customFormat="1" ht="12.75">
      <c r="A43" s="51"/>
      <c r="B43" s="51"/>
      <c r="C43" s="51"/>
      <c r="D43" s="51"/>
      <c r="E43" s="51"/>
      <c r="F43" s="49"/>
      <c r="G43" s="53"/>
      <c r="H43" s="230"/>
      <c r="I43" s="26"/>
      <c r="J43" s="188"/>
      <c r="K43" s="188"/>
      <c r="L43" s="93"/>
      <c r="M43" s="112"/>
      <c r="N43" s="244"/>
      <c r="P43" s="261"/>
      <c r="Q43" s="92"/>
    </row>
    <row r="44" spans="1:17" s="66" customFormat="1" ht="24">
      <c r="A44" s="187">
        <v>1</v>
      </c>
      <c r="B44" s="187">
        <v>0</v>
      </c>
      <c r="C44" s="187">
        <v>5</v>
      </c>
      <c r="D44" s="187">
        <v>1</v>
      </c>
      <c r="E44" s="187"/>
      <c r="F44" s="32" t="s">
        <v>30</v>
      </c>
      <c r="G44" s="189">
        <f>'REC 20'!G44+'REC 21'!G44</f>
        <v>495798000</v>
      </c>
      <c r="H44" s="233"/>
      <c r="I44" s="301"/>
      <c r="J44" s="189">
        <v>514750990</v>
      </c>
      <c r="K44" s="189">
        <v>514750990</v>
      </c>
      <c r="L44" s="105"/>
      <c r="M44" s="188">
        <v>3708100</v>
      </c>
      <c r="N44" s="244">
        <f t="shared" si="0"/>
        <v>103.82272417395795</v>
      </c>
      <c r="P44" s="74"/>
      <c r="Q44" s="92"/>
    </row>
    <row r="45" spans="1:17" s="61" customFormat="1" ht="24">
      <c r="A45" s="187">
        <v>1</v>
      </c>
      <c r="B45" s="187">
        <v>0</v>
      </c>
      <c r="C45" s="187">
        <v>5</v>
      </c>
      <c r="D45" s="187">
        <v>2</v>
      </c>
      <c r="E45" s="187"/>
      <c r="F45" s="32" t="s">
        <v>31</v>
      </c>
      <c r="G45" s="189">
        <f>'REC 20'!G45+'REC 21'!G45</f>
        <v>354435000</v>
      </c>
      <c r="H45" s="230"/>
      <c r="I45" s="28"/>
      <c r="J45" s="189">
        <v>399511564</v>
      </c>
      <c r="K45" s="189">
        <v>399511564</v>
      </c>
      <c r="L45" s="93"/>
      <c r="M45" s="191">
        <v>79632</v>
      </c>
      <c r="N45" s="244">
        <f t="shared" si="0"/>
        <v>112.71786477069139</v>
      </c>
      <c r="P45" s="261"/>
      <c r="Q45" s="92"/>
    </row>
    <row r="46" spans="1:17" s="61" customFormat="1" ht="12.75">
      <c r="A46" s="187">
        <v>1</v>
      </c>
      <c r="B46" s="187">
        <v>0</v>
      </c>
      <c r="C46" s="187">
        <v>5</v>
      </c>
      <c r="D46" s="187">
        <v>6</v>
      </c>
      <c r="E46" s="300"/>
      <c r="F46" s="32" t="s">
        <v>67</v>
      </c>
      <c r="G46" s="189">
        <f>'REC 20'!G46+'REC 21'!G46</f>
        <v>78735000</v>
      </c>
      <c r="H46" s="230"/>
      <c r="I46" s="28"/>
      <c r="J46" s="189">
        <v>85581300</v>
      </c>
      <c r="K46" s="189">
        <v>85581300</v>
      </c>
      <c r="L46" s="93"/>
      <c r="M46" s="191">
        <v>153700</v>
      </c>
      <c r="N46" s="244">
        <f t="shared" si="0"/>
        <v>108.6953705467708</v>
      </c>
      <c r="P46" s="261"/>
      <c r="Q46" s="92"/>
    </row>
    <row r="47" spans="1:17" s="66" customFormat="1" ht="12.75">
      <c r="A47" s="187">
        <v>1</v>
      </c>
      <c r="B47" s="187">
        <v>0</v>
      </c>
      <c r="C47" s="187">
        <v>5</v>
      </c>
      <c r="D47" s="187">
        <v>7</v>
      </c>
      <c r="E47" s="300"/>
      <c r="F47" s="32" t="s">
        <v>68</v>
      </c>
      <c r="G47" s="189">
        <f>'REC 20'!G47+'REC 21'!G47</f>
        <v>52490000</v>
      </c>
      <c r="H47" s="231"/>
      <c r="I47" s="28"/>
      <c r="J47" s="189">
        <v>57053500</v>
      </c>
      <c r="K47" s="189">
        <v>57053500</v>
      </c>
      <c r="L47" s="92"/>
      <c r="M47" s="191">
        <v>236500</v>
      </c>
      <c r="N47" s="244">
        <f t="shared" si="0"/>
        <v>108.69403695942084</v>
      </c>
      <c r="P47" s="74"/>
      <c r="Q47" s="92"/>
    </row>
    <row r="48" spans="1:17" s="66" customFormat="1" ht="12.75">
      <c r="A48" s="160"/>
      <c r="B48" s="160"/>
      <c r="C48" s="160"/>
      <c r="D48" s="160"/>
      <c r="E48" s="160"/>
      <c r="F48" s="160"/>
      <c r="G48" s="189"/>
      <c r="H48" s="231"/>
      <c r="I48" s="28"/>
      <c r="J48" s="57"/>
      <c r="K48" s="57"/>
      <c r="L48" s="92"/>
      <c r="M48" s="191"/>
      <c r="N48" s="244"/>
      <c r="P48" s="74"/>
      <c r="Q48" s="92"/>
    </row>
    <row r="49" spans="1:17" s="66" customFormat="1" ht="12.75">
      <c r="A49" s="51">
        <v>2</v>
      </c>
      <c r="B49" s="51">
        <v>0</v>
      </c>
      <c r="C49" s="51"/>
      <c r="D49" s="51"/>
      <c r="E49" s="51"/>
      <c r="F49" s="49" t="s">
        <v>32</v>
      </c>
      <c r="G49" s="53">
        <f>+G51+G54</f>
        <v>1696216200</v>
      </c>
      <c r="H49" s="231"/>
      <c r="I49" s="26"/>
      <c r="J49" s="55">
        <v>1631515803</v>
      </c>
      <c r="K49" s="55">
        <v>1621730688</v>
      </c>
      <c r="L49" s="92"/>
      <c r="M49" s="112">
        <v>97700397</v>
      </c>
      <c r="N49" s="243">
        <f t="shared" si="0"/>
        <v>95.60872534998781</v>
      </c>
      <c r="P49" s="304"/>
      <c r="Q49" s="92"/>
    </row>
    <row r="50" spans="1:17" s="61" customFormat="1" ht="12.75">
      <c r="A50" s="51"/>
      <c r="B50" s="51"/>
      <c r="C50" s="51"/>
      <c r="D50" s="51"/>
      <c r="E50" s="51"/>
      <c r="F50" s="49"/>
      <c r="G50" s="53"/>
      <c r="H50" s="230"/>
      <c r="I50" s="26"/>
      <c r="J50" s="55"/>
      <c r="K50" s="55"/>
      <c r="L50" s="93"/>
      <c r="M50" s="112"/>
      <c r="N50" s="244"/>
      <c r="P50" s="261"/>
      <c r="Q50" s="92"/>
    </row>
    <row r="51" spans="1:17" s="66" customFormat="1" ht="12.75">
      <c r="A51" s="51">
        <v>2</v>
      </c>
      <c r="B51" s="51">
        <v>0</v>
      </c>
      <c r="C51" s="51">
        <v>3</v>
      </c>
      <c r="D51" s="51"/>
      <c r="E51" s="51"/>
      <c r="F51" s="49" t="s">
        <v>33</v>
      </c>
      <c r="G51" s="53">
        <f>+G52</f>
        <v>20105800</v>
      </c>
      <c r="H51" s="230"/>
      <c r="I51" s="26"/>
      <c r="J51" s="55">
        <v>22826300</v>
      </c>
      <c r="K51" s="55">
        <v>22826300</v>
      </c>
      <c r="L51" s="92"/>
      <c r="M51" s="112">
        <v>139000</v>
      </c>
      <c r="N51" s="243">
        <f t="shared" si="0"/>
        <v>113.53092142565826</v>
      </c>
      <c r="P51" s="304"/>
      <c r="Q51" s="92"/>
    </row>
    <row r="52" spans="1:17" s="61" customFormat="1" ht="12.75">
      <c r="A52" s="187">
        <v>2</v>
      </c>
      <c r="B52" s="187">
        <v>0</v>
      </c>
      <c r="C52" s="187">
        <v>3</v>
      </c>
      <c r="D52" s="187">
        <v>50</v>
      </c>
      <c r="E52" s="187"/>
      <c r="F52" s="32" t="s">
        <v>69</v>
      </c>
      <c r="G52" s="189">
        <f>'REC 20'!G52+'REC 21'!G52</f>
        <v>20105800</v>
      </c>
      <c r="H52" s="230"/>
      <c r="I52" s="26"/>
      <c r="J52" s="189">
        <v>22826300</v>
      </c>
      <c r="K52" s="189">
        <v>22826300</v>
      </c>
      <c r="L52" s="105"/>
      <c r="M52" s="191">
        <v>139000</v>
      </c>
      <c r="N52" s="244">
        <f t="shared" si="0"/>
        <v>113.53092142565826</v>
      </c>
      <c r="P52" s="261"/>
      <c r="Q52" s="92"/>
    </row>
    <row r="53" spans="1:17" s="66" customFormat="1" ht="12.75">
      <c r="A53" s="187"/>
      <c r="B53" s="187"/>
      <c r="C53" s="187"/>
      <c r="D53" s="187"/>
      <c r="E53" s="187"/>
      <c r="F53" s="32"/>
      <c r="G53" s="189"/>
      <c r="H53" s="231"/>
      <c r="I53" s="28"/>
      <c r="J53" s="191"/>
      <c r="K53" s="191"/>
      <c r="L53" s="92"/>
      <c r="M53" s="191"/>
      <c r="N53" s="244"/>
      <c r="P53" s="74"/>
      <c r="Q53" s="92"/>
    </row>
    <row r="54" spans="1:17" s="66" customFormat="1" ht="12.75">
      <c r="A54" s="51">
        <v>2</v>
      </c>
      <c r="B54" s="51">
        <v>0</v>
      </c>
      <c r="C54" s="51">
        <v>4</v>
      </c>
      <c r="D54" s="51"/>
      <c r="E54" s="51"/>
      <c r="F54" s="49" t="s">
        <v>34</v>
      </c>
      <c r="G54" s="53">
        <f>SUM(G56:G68)</f>
        <v>1676110400</v>
      </c>
      <c r="H54" s="231"/>
      <c r="I54" s="31"/>
      <c r="J54" s="55">
        <v>1608689503</v>
      </c>
      <c r="K54" s="55">
        <v>1598904388</v>
      </c>
      <c r="L54" s="92"/>
      <c r="M54" s="55">
        <v>97561397</v>
      </c>
      <c r="N54" s="243">
        <f t="shared" si="0"/>
        <v>95.39373945773501</v>
      </c>
      <c r="P54" s="304"/>
      <c r="Q54" s="92"/>
    </row>
    <row r="55" spans="1:17" s="61" customFormat="1" ht="12.75">
      <c r="A55" s="51"/>
      <c r="B55" s="51"/>
      <c r="C55" s="51"/>
      <c r="D55" s="51"/>
      <c r="E55" s="51"/>
      <c r="F55" s="49"/>
      <c r="G55" s="53"/>
      <c r="H55" s="230"/>
      <c r="I55" s="26"/>
      <c r="J55" s="55"/>
      <c r="K55" s="55"/>
      <c r="L55" s="93"/>
      <c r="M55" s="112"/>
      <c r="N55" s="244"/>
      <c r="P55" s="261"/>
      <c r="Q55" s="92"/>
    </row>
    <row r="56" spans="1:17" s="61" customFormat="1" ht="12.75">
      <c r="A56" s="187">
        <v>2</v>
      </c>
      <c r="B56" s="187">
        <v>0</v>
      </c>
      <c r="C56" s="187">
        <v>4</v>
      </c>
      <c r="D56" s="187">
        <v>1</v>
      </c>
      <c r="E56" s="187"/>
      <c r="F56" s="32" t="s">
        <v>35</v>
      </c>
      <c r="G56" s="189">
        <f>'REC 20'!G56+'REC 21'!G56</f>
        <v>68000000</v>
      </c>
      <c r="H56" s="230"/>
      <c r="I56" s="26"/>
      <c r="J56" s="189">
        <v>68030833</v>
      </c>
      <c r="K56" s="189">
        <v>68030833</v>
      </c>
      <c r="L56" s="93"/>
      <c r="M56" s="191">
        <v>324167</v>
      </c>
      <c r="N56" s="244">
        <f t="shared" si="0"/>
        <v>100.04534264705882</v>
      </c>
      <c r="P56" s="261"/>
      <c r="Q56" s="92"/>
    </row>
    <row r="57" spans="1:17" s="66" customFormat="1" ht="15" customHeight="1">
      <c r="A57" s="187">
        <v>2</v>
      </c>
      <c r="B57" s="187">
        <v>0</v>
      </c>
      <c r="C57" s="187">
        <v>4</v>
      </c>
      <c r="D57" s="187">
        <v>2</v>
      </c>
      <c r="E57" s="51"/>
      <c r="F57" s="32" t="s">
        <v>36</v>
      </c>
      <c r="G57" s="189">
        <f>'REC 20'!G57+'REC 21'!G57</f>
        <v>1000000</v>
      </c>
      <c r="H57" s="233"/>
      <c r="I57" s="28"/>
      <c r="J57" s="189">
        <v>645000</v>
      </c>
      <c r="K57" s="189">
        <v>645000</v>
      </c>
      <c r="L57" s="92"/>
      <c r="M57" s="191">
        <v>0</v>
      </c>
      <c r="N57" s="244">
        <f t="shared" si="0"/>
        <v>64.5</v>
      </c>
      <c r="P57" s="74"/>
      <c r="Q57" s="92"/>
    </row>
    <row r="58" spans="1:17" s="61" customFormat="1" ht="15" customHeight="1">
      <c r="A58" s="187">
        <v>2</v>
      </c>
      <c r="B58" s="187">
        <v>0</v>
      </c>
      <c r="C58" s="187">
        <v>4</v>
      </c>
      <c r="D58" s="187">
        <v>4</v>
      </c>
      <c r="E58" s="51"/>
      <c r="F58" s="32" t="s">
        <v>37</v>
      </c>
      <c r="G58" s="189">
        <f>'REC 20'!G58+'REC 21'!G58</f>
        <v>76500000</v>
      </c>
      <c r="H58" s="233"/>
      <c r="I58" s="28"/>
      <c r="J58" s="189">
        <v>71985718</v>
      </c>
      <c r="K58" s="189">
        <v>71985718</v>
      </c>
      <c r="L58" s="93"/>
      <c r="M58" s="191">
        <v>1654782</v>
      </c>
      <c r="N58" s="244">
        <f t="shared" si="0"/>
        <v>94.09897777777778</v>
      </c>
      <c r="P58" s="261"/>
      <c r="Q58" s="92"/>
    </row>
    <row r="59" spans="1:17" s="61" customFormat="1" ht="15" customHeight="1">
      <c r="A59" s="187">
        <v>2</v>
      </c>
      <c r="B59" s="187">
        <v>0</v>
      </c>
      <c r="C59" s="187">
        <v>4</v>
      </c>
      <c r="D59" s="187">
        <v>5</v>
      </c>
      <c r="E59" s="51"/>
      <c r="F59" s="32" t="s">
        <v>38</v>
      </c>
      <c r="G59" s="189">
        <f>'REC 20'!G59+'REC 21'!G59</f>
        <v>509910276</v>
      </c>
      <c r="H59" s="233"/>
      <c r="I59" s="28"/>
      <c r="J59" s="189">
        <v>495648484</v>
      </c>
      <c r="K59" s="189">
        <v>495648484</v>
      </c>
      <c r="L59" s="93"/>
      <c r="M59" s="191">
        <v>14261792</v>
      </c>
      <c r="N59" s="244">
        <f t="shared" si="0"/>
        <v>97.20307813526001</v>
      </c>
      <c r="P59" s="261"/>
      <c r="Q59" s="92"/>
    </row>
    <row r="60" spans="1:17" s="61" customFormat="1" ht="15" customHeight="1">
      <c r="A60" s="187">
        <v>2</v>
      </c>
      <c r="B60" s="187">
        <v>0</v>
      </c>
      <c r="C60" s="187">
        <v>4</v>
      </c>
      <c r="D60" s="187">
        <v>6</v>
      </c>
      <c r="E60" s="51"/>
      <c r="F60" s="32" t="s">
        <v>39</v>
      </c>
      <c r="G60" s="189">
        <f>'REC 20'!G60+'REC 21'!G60</f>
        <v>165364688</v>
      </c>
      <c r="H60" s="233"/>
      <c r="I60" s="28"/>
      <c r="J60" s="189">
        <v>161735070</v>
      </c>
      <c r="K60" s="189">
        <v>161497470</v>
      </c>
      <c r="L60" s="93"/>
      <c r="M60" s="191">
        <v>3629618</v>
      </c>
      <c r="N60" s="244">
        <f t="shared" si="0"/>
        <v>97.66140035894483</v>
      </c>
      <c r="P60" s="261"/>
      <c r="Q60" s="92"/>
    </row>
    <row r="61" spans="1:17" s="61" customFormat="1" ht="15" customHeight="1">
      <c r="A61" s="187">
        <v>2</v>
      </c>
      <c r="B61" s="187">
        <v>0</v>
      </c>
      <c r="C61" s="187">
        <v>4</v>
      </c>
      <c r="D61" s="187">
        <v>7</v>
      </c>
      <c r="E61" s="51"/>
      <c r="F61" s="32" t="s">
        <v>40</v>
      </c>
      <c r="G61" s="189">
        <f>'REC 20'!G61+'REC 21'!G61</f>
        <v>19900000</v>
      </c>
      <c r="H61" s="233"/>
      <c r="I61" s="28"/>
      <c r="J61" s="189">
        <v>10147316</v>
      </c>
      <c r="K61" s="189">
        <v>10147316</v>
      </c>
      <c r="L61" s="93"/>
      <c r="M61" s="191">
        <v>9752684</v>
      </c>
      <c r="N61" s="244">
        <f t="shared" si="0"/>
        <v>50.991537688442214</v>
      </c>
      <c r="P61" s="261"/>
      <c r="Q61" s="92"/>
    </row>
    <row r="62" spans="1:17" s="61" customFormat="1" ht="15" customHeight="1">
      <c r="A62" s="187">
        <v>2</v>
      </c>
      <c r="B62" s="187">
        <v>0</v>
      </c>
      <c r="C62" s="187">
        <v>4</v>
      </c>
      <c r="D62" s="187">
        <v>8</v>
      </c>
      <c r="E62" s="51"/>
      <c r="F62" s="32" t="s">
        <v>41</v>
      </c>
      <c r="G62" s="189">
        <f>'REC 20'!G62+'REC 21'!G62</f>
        <v>270000000</v>
      </c>
      <c r="H62" s="233"/>
      <c r="I62" s="28"/>
      <c r="J62" s="189">
        <v>302520602</v>
      </c>
      <c r="K62" s="189">
        <v>302520602</v>
      </c>
      <c r="L62" s="93"/>
      <c r="M62" s="191">
        <v>479398</v>
      </c>
      <c r="N62" s="244">
        <f t="shared" si="0"/>
        <v>112.04466740740742</v>
      </c>
      <c r="P62" s="261"/>
      <c r="Q62" s="92"/>
    </row>
    <row r="63" spans="1:17" s="61" customFormat="1" ht="15" customHeight="1">
      <c r="A63" s="187">
        <v>2</v>
      </c>
      <c r="B63" s="187">
        <v>0</v>
      </c>
      <c r="C63" s="187">
        <v>4</v>
      </c>
      <c r="D63" s="187">
        <v>9</v>
      </c>
      <c r="E63" s="51"/>
      <c r="F63" s="32" t="s">
        <v>42</v>
      </c>
      <c r="G63" s="189">
        <f>'REC 20'!G63+'REC 21'!G63</f>
        <v>40550000</v>
      </c>
      <c r="H63" s="233"/>
      <c r="I63" s="28"/>
      <c r="J63" s="189">
        <v>31597571</v>
      </c>
      <c r="K63" s="189">
        <v>31597571</v>
      </c>
      <c r="L63" s="93"/>
      <c r="M63" s="191">
        <v>8952429</v>
      </c>
      <c r="N63" s="244">
        <f t="shared" si="0"/>
        <v>77.92249321824907</v>
      </c>
      <c r="P63" s="261"/>
      <c r="Q63" s="92"/>
    </row>
    <row r="64" spans="1:17" s="61" customFormat="1" ht="15" customHeight="1">
      <c r="A64" s="187">
        <v>2</v>
      </c>
      <c r="B64" s="187">
        <v>0</v>
      </c>
      <c r="C64" s="187">
        <v>4</v>
      </c>
      <c r="D64" s="187">
        <v>11</v>
      </c>
      <c r="E64" s="51"/>
      <c r="F64" s="32" t="s">
        <v>44</v>
      </c>
      <c r="G64" s="189">
        <f>'REC 20'!G64+'REC 21'!G64</f>
        <v>250000000</v>
      </c>
      <c r="H64" s="233"/>
      <c r="I64" s="28"/>
      <c r="J64" s="189">
        <v>205548326</v>
      </c>
      <c r="K64" s="189">
        <v>197845681</v>
      </c>
      <c r="L64" s="93"/>
      <c r="M64" s="191">
        <v>44451674</v>
      </c>
      <c r="N64" s="244">
        <f t="shared" si="0"/>
        <v>79.1382724</v>
      </c>
      <c r="P64" s="261"/>
      <c r="Q64" s="92"/>
    </row>
    <row r="65" spans="1:17" s="67" customFormat="1" ht="15" customHeight="1">
      <c r="A65" s="187">
        <v>2</v>
      </c>
      <c r="B65" s="187">
        <v>0</v>
      </c>
      <c r="C65" s="187">
        <v>4</v>
      </c>
      <c r="D65" s="187">
        <v>13</v>
      </c>
      <c r="E65" s="187"/>
      <c r="F65" s="32" t="s">
        <v>45</v>
      </c>
      <c r="G65" s="189">
        <f>'REC 20'!G65+'REC 21'!G65</f>
        <v>35000000</v>
      </c>
      <c r="H65" s="233"/>
      <c r="I65" s="28"/>
      <c r="J65" s="189">
        <v>31652840</v>
      </c>
      <c r="K65" s="189">
        <v>31562840</v>
      </c>
      <c r="L65" s="94"/>
      <c r="M65" s="191">
        <v>3347160</v>
      </c>
      <c r="N65" s="244">
        <f t="shared" si="0"/>
        <v>90.17954285714286</v>
      </c>
      <c r="P65" s="261"/>
      <c r="Q65" s="92"/>
    </row>
    <row r="66" spans="1:17" s="61" customFormat="1" ht="15" customHeight="1">
      <c r="A66" s="187">
        <v>2</v>
      </c>
      <c r="B66" s="187">
        <v>0</v>
      </c>
      <c r="C66" s="187">
        <v>4</v>
      </c>
      <c r="D66" s="187">
        <v>21</v>
      </c>
      <c r="E66" s="51"/>
      <c r="F66" s="192" t="s">
        <v>70</v>
      </c>
      <c r="G66" s="189">
        <f>'REC 20'!G67+'REC 21'!G68</f>
        <v>65000000</v>
      </c>
      <c r="H66" s="233"/>
      <c r="I66" s="28"/>
      <c r="J66" s="189">
        <v>62609137</v>
      </c>
      <c r="K66" s="189">
        <v>62609137</v>
      </c>
      <c r="L66" s="93"/>
      <c r="M66" s="191">
        <v>2390863</v>
      </c>
      <c r="N66" s="244">
        <f t="shared" si="0"/>
        <v>96.32174923076923</v>
      </c>
      <c r="P66" s="261"/>
      <c r="Q66" s="92"/>
    </row>
    <row r="67" spans="1:17" s="66" customFormat="1" ht="15" customHeight="1">
      <c r="A67" s="187">
        <v>2</v>
      </c>
      <c r="B67" s="187">
        <v>0</v>
      </c>
      <c r="C67" s="187">
        <v>4</v>
      </c>
      <c r="D67" s="187">
        <v>40</v>
      </c>
      <c r="E67" s="51"/>
      <c r="F67" s="32" t="s">
        <v>47</v>
      </c>
      <c r="G67" s="189">
        <f>'REC 20'!G68+'REC 21'!G69</f>
        <v>4500000</v>
      </c>
      <c r="H67" s="233"/>
      <c r="I67" s="28"/>
      <c r="J67" s="189">
        <v>1702900</v>
      </c>
      <c r="K67" s="189">
        <v>804160</v>
      </c>
      <c r="L67" s="92"/>
      <c r="M67" s="191">
        <v>2797100</v>
      </c>
      <c r="N67" s="244">
        <f t="shared" si="0"/>
        <v>17.870222222222225</v>
      </c>
      <c r="P67" s="74"/>
      <c r="Q67" s="92"/>
    </row>
    <row r="68" spans="1:17" s="66" customFormat="1" ht="15" customHeight="1">
      <c r="A68" s="187">
        <v>2</v>
      </c>
      <c r="B68" s="187">
        <v>0</v>
      </c>
      <c r="C68" s="187">
        <v>4</v>
      </c>
      <c r="D68" s="187">
        <v>41</v>
      </c>
      <c r="E68" s="51"/>
      <c r="F68" s="32" t="s">
        <v>48</v>
      </c>
      <c r="G68" s="189">
        <f>'REC 20'!G69+'REC 21'!G70</f>
        <v>170385436</v>
      </c>
      <c r="H68" s="233"/>
      <c r="I68" s="28"/>
      <c r="J68" s="189">
        <v>164865706</v>
      </c>
      <c r="K68" s="189">
        <v>164009576</v>
      </c>
      <c r="L68" s="92"/>
      <c r="M68" s="191">
        <v>5519730</v>
      </c>
      <c r="N68" s="244">
        <f t="shared" si="0"/>
        <v>96.25797829340297</v>
      </c>
      <c r="P68" s="74"/>
      <c r="Q68" s="92"/>
    </row>
    <row r="69" spans="1:17" s="61" customFormat="1" ht="15" customHeight="1">
      <c r="A69" s="187"/>
      <c r="B69" s="187"/>
      <c r="C69" s="187"/>
      <c r="D69" s="187"/>
      <c r="E69" s="51"/>
      <c r="F69" s="32"/>
      <c r="G69" s="189"/>
      <c r="H69" s="233"/>
      <c r="I69" s="28"/>
      <c r="J69" s="189"/>
      <c r="K69" s="189"/>
      <c r="L69" s="93"/>
      <c r="M69" s="191"/>
      <c r="N69" s="244"/>
      <c r="P69" s="261"/>
      <c r="Q69" s="92"/>
    </row>
    <row r="70" spans="1:17" s="61" customFormat="1" ht="15" customHeight="1">
      <c r="A70" s="51">
        <v>3</v>
      </c>
      <c r="B70" s="51"/>
      <c r="C70" s="51"/>
      <c r="D70" s="51"/>
      <c r="E70" s="51"/>
      <c r="F70" s="49" t="s">
        <v>79</v>
      </c>
      <c r="G70" s="50">
        <f>+G71+G75+G78</f>
        <v>607000000</v>
      </c>
      <c r="H70" s="233"/>
      <c r="I70" s="28"/>
      <c r="J70" s="50">
        <v>565360137</v>
      </c>
      <c r="K70" s="50">
        <v>565360137</v>
      </c>
      <c r="L70" s="93"/>
      <c r="M70" s="55">
        <v>8639863</v>
      </c>
      <c r="N70" s="243">
        <f t="shared" si="0"/>
        <v>93.14005551894563</v>
      </c>
      <c r="O70" s="93"/>
      <c r="P70" s="305"/>
      <c r="Q70" s="92"/>
    </row>
    <row r="71" spans="1:17" s="66" customFormat="1" ht="15" customHeight="1">
      <c r="A71" s="187">
        <v>3</v>
      </c>
      <c r="B71" s="187">
        <v>2</v>
      </c>
      <c r="C71" s="187"/>
      <c r="D71" s="187"/>
      <c r="E71" s="51"/>
      <c r="F71" s="192" t="s">
        <v>80</v>
      </c>
      <c r="G71" s="189">
        <f>'REC 20'!G72</f>
        <v>18000000</v>
      </c>
      <c r="H71" s="233"/>
      <c r="I71" s="28"/>
      <c r="J71" s="319">
        <v>15360137</v>
      </c>
      <c r="K71" s="319">
        <v>15360137</v>
      </c>
      <c r="L71" s="92"/>
      <c r="M71" s="191">
        <v>2639863</v>
      </c>
      <c r="N71" s="244">
        <f t="shared" si="0"/>
        <v>85.33409444444445</v>
      </c>
      <c r="P71" s="74"/>
      <c r="Q71" s="92"/>
    </row>
    <row r="72" spans="1:17" s="66" customFormat="1" ht="15" customHeight="1">
      <c r="A72" s="187">
        <v>3</v>
      </c>
      <c r="B72" s="187">
        <v>2</v>
      </c>
      <c r="C72" s="187">
        <v>1</v>
      </c>
      <c r="D72" s="187"/>
      <c r="E72" s="51"/>
      <c r="F72" s="192" t="s">
        <v>81</v>
      </c>
      <c r="G72" s="189">
        <f>'REC 20'!G73</f>
        <v>18000000</v>
      </c>
      <c r="H72" s="233"/>
      <c r="I72" s="28"/>
      <c r="J72" s="319">
        <v>15360137</v>
      </c>
      <c r="K72" s="319">
        <v>15360137</v>
      </c>
      <c r="L72" s="92"/>
      <c r="M72" s="191">
        <v>2639863</v>
      </c>
      <c r="N72" s="244">
        <f t="shared" si="0"/>
        <v>85.33409444444445</v>
      </c>
      <c r="P72" s="74"/>
      <c r="Q72" s="92"/>
    </row>
    <row r="73" spans="1:17" s="67" customFormat="1" ht="15" customHeight="1">
      <c r="A73" s="187">
        <v>3</v>
      </c>
      <c r="B73" s="187">
        <v>2</v>
      </c>
      <c r="C73" s="187">
        <v>1</v>
      </c>
      <c r="D73" s="187">
        <v>1</v>
      </c>
      <c r="E73" s="187">
        <v>20</v>
      </c>
      <c r="F73" s="192" t="s">
        <v>82</v>
      </c>
      <c r="G73" s="189">
        <f>'REC 20'!G74</f>
        <v>18000000</v>
      </c>
      <c r="H73" s="232"/>
      <c r="I73" s="33"/>
      <c r="J73" s="319">
        <v>15360137</v>
      </c>
      <c r="K73" s="319">
        <v>15360137</v>
      </c>
      <c r="L73" s="235"/>
      <c r="M73" s="191">
        <v>2639863</v>
      </c>
      <c r="N73" s="244">
        <f t="shared" si="0"/>
        <v>85.33409444444445</v>
      </c>
      <c r="P73" s="261"/>
      <c r="Q73" s="92"/>
    </row>
    <row r="74" spans="1:17" s="61" customFormat="1" ht="15" customHeight="1">
      <c r="A74" s="187"/>
      <c r="B74" s="187"/>
      <c r="C74" s="187"/>
      <c r="D74" s="187"/>
      <c r="E74" s="51"/>
      <c r="F74" s="192"/>
      <c r="G74" s="189"/>
      <c r="H74" s="233"/>
      <c r="I74" s="30"/>
      <c r="J74" s="191"/>
      <c r="K74" s="191"/>
      <c r="L74" s="130"/>
      <c r="M74" s="191"/>
      <c r="N74" s="244"/>
      <c r="P74" s="261"/>
      <c r="Q74" s="92"/>
    </row>
    <row r="75" spans="1:17" s="61" customFormat="1" ht="15" customHeight="1">
      <c r="A75" s="187">
        <v>3</v>
      </c>
      <c r="B75" s="187">
        <v>6</v>
      </c>
      <c r="C75" s="187"/>
      <c r="D75" s="187"/>
      <c r="E75" s="51"/>
      <c r="F75" s="192" t="s">
        <v>83</v>
      </c>
      <c r="G75" s="189">
        <f>'REC 20'!G76</f>
        <v>209000000</v>
      </c>
      <c r="H75" s="233"/>
      <c r="I75" s="30"/>
      <c r="J75" s="189">
        <v>209000000</v>
      </c>
      <c r="K75" s="189">
        <v>209000000</v>
      </c>
      <c r="L75" s="130"/>
      <c r="M75" s="319">
        <v>0</v>
      </c>
      <c r="N75" s="244">
        <f t="shared" si="0"/>
        <v>100</v>
      </c>
      <c r="P75" s="261"/>
      <c r="Q75" s="92"/>
    </row>
    <row r="76" spans="1:17" s="61" customFormat="1" ht="15" customHeight="1">
      <c r="A76" s="187">
        <v>3</v>
      </c>
      <c r="B76" s="187">
        <v>6</v>
      </c>
      <c r="C76" s="187">
        <v>1</v>
      </c>
      <c r="D76" s="187"/>
      <c r="E76" s="51"/>
      <c r="F76" s="192" t="s">
        <v>84</v>
      </c>
      <c r="G76" s="189">
        <f>'REC 20'!G77</f>
        <v>209000000</v>
      </c>
      <c r="H76" s="233"/>
      <c r="I76" s="30"/>
      <c r="J76" s="189">
        <v>209000000</v>
      </c>
      <c r="K76" s="189">
        <v>209000000</v>
      </c>
      <c r="L76" s="130"/>
      <c r="M76" s="319">
        <v>0</v>
      </c>
      <c r="N76" s="244">
        <f t="shared" si="0"/>
        <v>100</v>
      </c>
      <c r="P76" s="261"/>
      <c r="Q76" s="92"/>
    </row>
    <row r="77" spans="1:17" s="61" customFormat="1" ht="10.5" customHeight="1">
      <c r="A77" s="187">
        <v>3</v>
      </c>
      <c r="B77" s="187">
        <v>6</v>
      </c>
      <c r="C77" s="187">
        <v>1</v>
      </c>
      <c r="D77" s="187">
        <v>1</v>
      </c>
      <c r="E77" s="187">
        <v>20</v>
      </c>
      <c r="F77" s="192" t="s">
        <v>84</v>
      </c>
      <c r="G77" s="189">
        <f>'REC 20'!G78</f>
        <v>209000000</v>
      </c>
      <c r="H77" s="233"/>
      <c r="I77" s="26"/>
      <c r="J77" s="189">
        <v>209000000</v>
      </c>
      <c r="K77" s="189">
        <v>209000000</v>
      </c>
      <c r="L77" s="236"/>
      <c r="M77" s="319">
        <v>0</v>
      </c>
      <c r="N77" s="244">
        <f t="shared" si="0"/>
        <v>100</v>
      </c>
      <c r="P77" s="261"/>
      <c r="Q77" s="92"/>
    </row>
    <row r="78" spans="1:17" s="61" customFormat="1" ht="15" customHeight="1">
      <c r="A78" s="187">
        <v>3</v>
      </c>
      <c r="B78" s="187">
        <v>6</v>
      </c>
      <c r="C78" s="187">
        <v>1</v>
      </c>
      <c r="D78" s="187">
        <v>1</v>
      </c>
      <c r="E78" s="187">
        <v>21</v>
      </c>
      <c r="F78" s="192" t="s">
        <v>84</v>
      </c>
      <c r="G78" s="189">
        <f>'REC 20'!G79</f>
        <v>380000000</v>
      </c>
      <c r="H78" s="233"/>
      <c r="I78" s="30"/>
      <c r="J78" s="189">
        <v>341000000</v>
      </c>
      <c r="K78" s="189">
        <v>341000000</v>
      </c>
      <c r="L78" s="130"/>
      <c r="M78" s="191">
        <v>6000000</v>
      </c>
      <c r="N78" s="244">
        <f t="shared" si="0"/>
        <v>89.73684210526316</v>
      </c>
      <c r="P78" s="261"/>
      <c r="Q78" s="92"/>
    </row>
    <row r="79" spans="1:17" s="61" customFormat="1" ht="15" customHeight="1">
      <c r="A79" s="187"/>
      <c r="B79" s="187"/>
      <c r="C79" s="187"/>
      <c r="D79" s="187"/>
      <c r="E79" s="187"/>
      <c r="F79" s="192"/>
      <c r="G79" s="189"/>
      <c r="H79" s="233"/>
      <c r="I79" s="30"/>
      <c r="J79" s="191"/>
      <c r="K79" s="191"/>
      <c r="L79" s="130"/>
      <c r="M79" s="191"/>
      <c r="N79" s="244"/>
      <c r="P79" s="261"/>
      <c r="Q79" s="92"/>
    </row>
    <row r="80" spans="1:17" s="61" customFormat="1" ht="15" customHeight="1">
      <c r="A80" s="51"/>
      <c r="B80" s="51"/>
      <c r="C80" s="51"/>
      <c r="D80" s="51"/>
      <c r="E80" s="51"/>
      <c r="F80" s="52" t="s">
        <v>85</v>
      </c>
      <c r="G80" s="53">
        <f>'REC 20'!G81</f>
        <v>1290845000</v>
      </c>
      <c r="H80" s="233"/>
      <c r="I80" s="30"/>
      <c r="J80" s="53">
        <v>1052567774</v>
      </c>
      <c r="K80" s="53">
        <v>1052567774</v>
      </c>
      <c r="L80" s="235"/>
      <c r="M80" s="55">
        <v>138277226</v>
      </c>
      <c r="N80" s="243">
        <f t="shared" si="0"/>
        <v>81.54098857724978</v>
      </c>
      <c r="P80" s="305"/>
      <c r="Q80" s="92"/>
    </row>
    <row r="81" spans="1:17" s="61" customFormat="1" ht="15" customHeight="1">
      <c r="A81" s="161"/>
      <c r="B81" s="161"/>
      <c r="C81" s="161"/>
      <c r="D81" s="161"/>
      <c r="E81" s="161"/>
      <c r="F81" s="161"/>
      <c r="G81" s="189"/>
      <c r="H81" s="233"/>
      <c r="I81" s="30"/>
      <c r="J81" s="189"/>
      <c r="K81" s="189"/>
      <c r="L81" s="130"/>
      <c r="M81" s="319">
        <v>0</v>
      </c>
      <c r="N81" s="244"/>
      <c r="P81" s="261"/>
      <c r="Q81" s="92"/>
    </row>
    <row r="82" spans="1:17" s="61" customFormat="1" ht="36">
      <c r="A82" s="161">
        <v>123</v>
      </c>
      <c r="B82" s="162">
        <v>1000</v>
      </c>
      <c r="C82" s="161">
        <v>1</v>
      </c>
      <c r="D82" s="161"/>
      <c r="E82" s="161">
        <v>20</v>
      </c>
      <c r="F82" s="163" t="s">
        <v>91</v>
      </c>
      <c r="G82" s="189">
        <f>'REC 20'!G83</f>
        <v>217000000</v>
      </c>
      <c r="H82" s="233"/>
      <c r="I82" s="26"/>
      <c r="J82" s="189">
        <v>149055400</v>
      </c>
      <c r="K82" s="189">
        <v>149055400</v>
      </c>
      <c r="L82" s="236"/>
      <c r="M82" s="191">
        <v>67944600</v>
      </c>
      <c r="N82" s="244">
        <f t="shared" si="0"/>
        <v>68.68912442396314</v>
      </c>
      <c r="P82" s="261"/>
      <c r="Q82" s="92"/>
    </row>
    <row r="83" spans="1:17" s="75" customFormat="1" ht="30" customHeight="1">
      <c r="A83" s="161">
        <v>510</v>
      </c>
      <c r="B83" s="162">
        <v>1000</v>
      </c>
      <c r="C83" s="161">
        <v>1</v>
      </c>
      <c r="D83" s="161"/>
      <c r="E83" s="161">
        <v>20</v>
      </c>
      <c r="F83" s="163" t="s">
        <v>87</v>
      </c>
      <c r="G83" s="189">
        <f>'REC 20'!G84</f>
        <v>43643000</v>
      </c>
      <c r="H83" s="234"/>
      <c r="I83" s="33"/>
      <c r="J83" s="189">
        <v>41863940</v>
      </c>
      <c r="K83" s="189">
        <v>41863940</v>
      </c>
      <c r="L83" s="130"/>
      <c r="M83" s="191">
        <v>1779060</v>
      </c>
      <c r="N83" s="244">
        <f t="shared" si="0"/>
        <v>95.92360745136676</v>
      </c>
      <c r="P83" s="261"/>
      <c r="Q83" s="92"/>
    </row>
    <row r="84" spans="1:17" s="61" customFormat="1" ht="25.5" customHeight="1">
      <c r="A84" s="161">
        <v>520</v>
      </c>
      <c r="B84" s="162">
        <v>1000</v>
      </c>
      <c r="C84" s="161">
        <v>5</v>
      </c>
      <c r="D84" s="161"/>
      <c r="E84" s="161">
        <v>20</v>
      </c>
      <c r="F84" s="163" t="s">
        <v>92</v>
      </c>
      <c r="G84" s="189">
        <f>'REC 20'!G85</f>
        <v>109620000</v>
      </c>
      <c r="H84" s="233"/>
      <c r="I84" s="26"/>
      <c r="J84" s="189">
        <v>89950000</v>
      </c>
      <c r="K84" s="189">
        <v>89950000</v>
      </c>
      <c r="L84" s="236"/>
      <c r="M84" s="191">
        <v>19670000</v>
      </c>
      <c r="N84" s="244">
        <f t="shared" si="0"/>
        <v>82.05619412515965</v>
      </c>
      <c r="P84" s="261"/>
      <c r="Q84" s="92"/>
    </row>
    <row r="85" spans="1:17" s="61" customFormat="1" ht="15" customHeight="1">
      <c r="A85" s="161">
        <v>520</v>
      </c>
      <c r="B85" s="162">
        <v>1503</v>
      </c>
      <c r="C85" s="161">
        <v>1</v>
      </c>
      <c r="D85" s="161"/>
      <c r="E85" s="161">
        <v>20</v>
      </c>
      <c r="F85" s="163" t="s">
        <v>88</v>
      </c>
      <c r="G85" s="189">
        <f>'REC 20'!G86</f>
        <v>728500000</v>
      </c>
      <c r="H85" s="233"/>
      <c r="I85" s="30"/>
      <c r="J85" s="189">
        <v>628447934</v>
      </c>
      <c r="K85" s="319">
        <v>628447934</v>
      </c>
      <c r="L85" s="235"/>
      <c r="M85" s="191">
        <v>52066</v>
      </c>
      <c r="N85" s="244">
        <f t="shared" si="0"/>
        <v>86.2660170212766</v>
      </c>
      <c r="P85" s="261"/>
      <c r="Q85" s="92"/>
    </row>
    <row r="86" spans="1:17" s="61" customFormat="1" ht="15" customHeight="1">
      <c r="A86" s="161">
        <v>520</v>
      </c>
      <c r="B86" s="162">
        <v>1503</v>
      </c>
      <c r="C86" s="161">
        <v>2</v>
      </c>
      <c r="D86" s="161"/>
      <c r="E86" s="161">
        <v>20</v>
      </c>
      <c r="F86" s="163" t="s">
        <v>89</v>
      </c>
      <c r="G86" s="189">
        <f>'REC 20'!G87</f>
        <v>15000000</v>
      </c>
      <c r="H86" s="233"/>
      <c r="I86" s="30"/>
      <c r="J86" s="319">
        <v>13456000</v>
      </c>
      <c r="K86" s="319">
        <v>13456000</v>
      </c>
      <c r="L86" s="130"/>
      <c r="M86" s="191">
        <v>1544000</v>
      </c>
      <c r="N86" s="244">
        <f>(+K86/G86)*100</f>
        <v>89.70666666666666</v>
      </c>
      <c r="P86" s="261"/>
      <c r="Q86" s="92"/>
    </row>
    <row r="87" spans="1:17" s="61" customFormat="1" ht="15" customHeight="1" thickBot="1">
      <c r="A87" s="161">
        <v>520</v>
      </c>
      <c r="B87" s="162">
        <v>1503</v>
      </c>
      <c r="C87" s="161">
        <v>3</v>
      </c>
      <c r="D87" s="161"/>
      <c r="E87" s="161">
        <v>20</v>
      </c>
      <c r="F87" s="163" t="s">
        <v>93</v>
      </c>
      <c r="G87" s="189">
        <f>'REC 20'!G88</f>
        <v>177082000</v>
      </c>
      <c r="H87" s="233"/>
      <c r="I87" s="26"/>
      <c r="J87" s="189">
        <v>129794500</v>
      </c>
      <c r="K87" s="189">
        <v>129794500</v>
      </c>
      <c r="L87" s="238"/>
      <c r="M87" s="191">
        <v>47287500</v>
      </c>
      <c r="N87" s="244">
        <f>(+K87/G87)*100</f>
        <v>73.2962695248529</v>
      </c>
      <c r="P87" s="261"/>
      <c r="Q87" s="92"/>
    </row>
    <row r="88" spans="1:16" s="61" customFormat="1" ht="15" customHeight="1" thickBot="1">
      <c r="A88" s="222"/>
      <c r="B88" s="222"/>
      <c r="C88" s="222"/>
      <c r="D88" s="222"/>
      <c r="E88" s="222"/>
      <c r="F88" s="222"/>
      <c r="G88" s="318">
        <v>8419362050</v>
      </c>
      <c r="H88" s="96"/>
      <c r="I88" s="68"/>
      <c r="J88" s="318">
        <v>8000756192</v>
      </c>
      <c r="K88" s="318">
        <v>7990971077</v>
      </c>
      <c r="L88" s="334"/>
      <c r="M88" s="333">
        <v>318605858</v>
      </c>
      <c r="N88" s="339">
        <f>(+K88/G88)*100</f>
        <v>94.91183571325335</v>
      </c>
      <c r="P88" s="261"/>
    </row>
    <row r="89" spans="1:16" s="61" customFormat="1" ht="15" customHeight="1">
      <c r="A89" s="165"/>
      <c r="B89" s="165"/>
      <c r="C89" s="165"/>
      <c r="D89" s="165"/>
      <c r="E89" s="165"/>
      <c r="F89" s="165"/>
      <c r="G89" s="200"/>
      <c r="H89" s="96"/>
      <c r="I89" s="69"/>
      <c r="J89" s="245"/>
      <c r="K89" s="245"/>
      <c r="L89" s="69"/>
      <c r="M89" s="245"/>
      <c r="N89" s="246"/>
      <c r="P89" s="261"/>
    </row>
    <row r="90" spans="1:16" s="61" customFormat="1" ht="15" customHeight="1">
      <c r="A90" s="164"/>
      <c r="B90" s="164"/>
      <c r="C90" s="164"/>
      <c r="D90" s="164"/>
      <c r="E90" s="164"/>
      <c r="F90" s="164"/>
      <c r="G90" s="196"/>
      <c r="H90" s="96"/>
      <c r="I90" s="69"/>
      <c r="J90" s="245"/>
      <c r="K90" s="245"/>
      <c r="L90" s="69"/>
      <c r="M90" s="245"/>
      <c r="N90" s="246"/>
      <c r="P90" s="261"/>
    </row>
    <row r="91" spans="1:16" s="66" customFormat="1" ht="7.5" customHeight="1">
      <c r="A91" s="164"/>
      <c r="B91" s="164"/>
      <c r="C91" s="164"/>
      <c r="D91" s="164"/>
      <c r="E91" s="164"/>
      <c r="F91" s="164"/>
      <c r="G91" s="196"/>
      <c r="H91" s="96"/>
      <c r="I91" s="69"/>
      <c r="J91" s="172"/>
      <c r="K91" s="172"/>
      <c r="L91" s="69"/>
      <c r="M91" s="245"/>
      <c r="N91" s="246"/>
      <c r="P91" s="74"/>
    </row>
    <row r="92" spans="1:15" ht="12.75">
      <c r="A92" s="209"/>
      <c r="B92" s="209" t="s">
        <v>49</v>
      </c>
      <c r="C92" s="164"/>
      <c r="D92" s="164"/>
      <c r="F92" s="164"/>
      <c r="G92" s="196"/>
      <c r="H92" s="48"/>
      <c r="I92" s="69"/>
      <c r="J92" s="87" t="s">
        <v>94</v>
      </c>
      <c r="K92" s="247"/>
      <c r="L92" s="227"/>
      <c r="M92" s="247"/>
      <c r="N92" s="248"/>
      <c r="O92" s="103"/>
    </row>
    <row r="93" spans="1:14" ht="13.5" customHeight="1">
      <c r="A93" s="164"/>
      <c r="B93" s="164" t="s">
        <v>50</v>
      </c>
      <c r="C93" s="164"/>
      <c r="D93" s="164"/>
      <c r="F93" s="164"/>
      <c r="G93" s="196"/>
      <c r="H93" s="8"/>
      <c r="I93" s="35"/>
      <c r="J93" s="41" t="s">
        <v>51</v>
      </c>
      <c r="K93" s="172"/>
      <c r="L93" s="46"/>
      <c r="M93" s="124"/>
      <c r="N93" s="249"/>
    </row>
    <row r="94" spans="1:14" ht="12.75">
      <c r="A94" s="164"/>
      <c r="B94" s="164"/>
      <c r="C94" s="164"/>
      <c r="D94" s="164"/>
      <c r="E94" s="164"/>
      <c r="F94" s="164"/>
      <c r="G94" s="196"/>
      <c r="H94" s="8"/>
      <c r="I94" s="35"/>
      <c r="J94" s="172"/>
      <c r="K94" s="172"/>
      <c r="L94" s="46"/>
      <c r="M94" s="124"/>
      <c r="N94" s="249"/>
    </row>
    <row r="95" spans="1:14" ht="12.75">
      <c r="A95" s="7"/>
      <c r="B95" s="7"/>
      <c r="C95" s="7"/>
      <c r="D95" s="7"/>
      <c r="E95" s="7"/>
      <c r="F95" s="34"/>
      <c r="G95" s="42"/>
      <c r="H95" s="8"/>
      <c r="I95" s="35"/>
      <c r="J95" s="172"/>
      <c r="K95" s="172"/>
      <c r="L95" s="46"/>
      <c r="M95" s="124"/>
      <c r="N95" s="249"/>
    </row>
    <row r="96" spans="1:14" ht="12.75">
      <c r="A96" s="9"/>
      <c r="B96" s="7"/>
      <c r="C96" s="7"/>
      <c r="D96" s="7"/>
      <c r="E96" s="9"/>
      <c r="F96" s="34"/>
      <c r="G96" s="42"/>
      <c r="H96" s="8"/>
      <c r="I96" s="35"/>
      <c r="J96" s="172"/>
      <c r="K96" s="210"/>
      <c r="L96" s="46"/>
      <c r="M96" s="124"/>
      <c r="N96" s="249"/>
    </row>
    <row r="97" spans="1:14" ht="12.75">
      <c r="A97" s="7"/>
      <c r="B97" s="7"/>
      <c r="C97" s="7"/>
      <c r="D97" s="7"/>
      <c r="E97" s="7"/>
      <c r="F97" s="34"/>
      <c r="G97" s="42"/>
      <c r="H97" s="8"/>
      <c r="I97" s="35"/>
      <c r="J97" s="172"/>
      <c r="K97" s="251"/>
      <c r="L97" s="46"/>
      <c r="M97" s="124"/>
      <c r="N97" s="249"/>
    </row>
    <row r="98" spans="1:14" ht="12.75">
      <c r="A98" s="7"/>
      <c r="B98" s="7"/>
      <c r="C98" s="7"/>
      <c r="D98" s="7"/>
      <c r="E98" s="7"/>
      <c r="F98" s="34"/>
      <c r="G98" s="42"/>
      <c r="H98" s="8"/>
      <c r="I98" s="35"/>
      <c r="J98" s="172"/>
      <c r="K98" s="172"/>
      <c r="L98" s="46"/>
      <c r="M98" s="124"/>
      <c r="N98" s="249"/>
    </row>
    <row r="99" ht="12.75">
      <c r="A99" s="299"/>
    </row>
    <row r="100" ht="12.75">
      <c r="A100" s="299"/>
    </row>
  </sheetData>
  <mergeCells count="13"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G6"/>
    <mergeCell ref="J5:K5"/>
    <mergeCell ref="N5:N6"/>
    <mergeCell ref="M5:M6"/>
  </mergeCells>
  <printOptions horizontalCentered="1" verticalCentered="1"/>
  <pageMargins left="0.7874015748031497" right="0.5118110236220472" top="0.15748031496062992" bottom="1.8110236220472442" header="0" footer="0"/>
  <pageSetup horizontalDpi="600" verticalDpi="600" orientation="landscape" scale="6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suribe</dc:creator>
  <cp:keywords/>
  <dc:description/>
  <cp:lastModifiedBy>ypalacin</cp:lastModifiedBy>
  <cp:lastPrinted>2010-02-22T17:02:52Z</cp:lastPrinted>
  <dcterms:created xsi:type="dcterms:W3CDTF">2006-02-22T14:18:00Z</dcterms:created>
  <dcterms:modified xsi:type="dcterms:W3CDTF">2010-02-22T17:22:48Z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